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ml.chartshapes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showInkAnnotation="0" codeName="ThisWorkbook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glengreenberg/Library/CloudStorage/Dropbox/Tens Test/"/>
    </mc:Choice>
  </mc:AlternateContent>
  <xr:revisionPtr revIDLastSave="0" documentId="13_ncr:1_{FBC4D886-9450-0C45-BE1B-5486C0998FCB}" xr6:coauthVersionLast="47" xr6:coauthVersionMax="47" xr10:uidLastSave="{00000000-0000-0000-0000-000000000000}"/>
  <bookViews>
    <workbookView xWindow="4100" yWindow="620" windowWidth="20600" windowHeight="18640" xr2:uid="{00000000-000D-0000-FFFF-FFFF00000000}"/>
  </bookViews>
  <sheets>
    <sheet name="Scoring" sheetId="1" r:id="rId1"/>
    <sheet name="Repeat Assessments" sheetId="3" r:id="rId2"/>
    <sheet name="Set Up Other Group Data" sheetId="2" r:id="rId3"/>
    <sheet name="Healthy Controls" sheetId="4" r:id="rId4"/>
    <sheet name="Print Results" sheetId="6" r:id="rId5"/>
    <sheet name="AI interpretation" sheetId="7" r:id="rId6"/>
  </sheets>
  <definedNames>
    <definedName name="_xlnm.Print_Area" localSheetId="4">'Print Results'!$B$2:$J$44</definedName>
    <definedName name="_xlnm.Print_Area" localSheetId="1">'Repeat Assessments'!$B$2:$F$37</definedName>
  </definedNames>
  <calcPr calcId="191029" iterateCount="5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3" i="1" l="1"/>
  <c r="O35" i="1"/>
  <c r="E40" i="6" s="1"/>
  <c r="L2" i="1"/>
  <c r="G2" i="1"/>
  <c r="D12" i="7"/>
  <c r="B12" i="7"/>
  <c r="D8" i="7"/>
  <c r="D9" i="7"/>
  <c r="D7" i="7"/>
  <c r="C8" i="7"/>
  <c r="C9" i="7"/>
  <c r="C7" i="7"/>
  <c r="C2" i="6"/>
  <c r="H2" i="6"/>
  <c r="I2" i="6"/>
  <c r="F2" i="6"/>
  <c r="G28" i="2"/>
  <c r="G29" i="2"/>
  <c r="G30" i="2"/>
  <c r="G31" i="2"/>
  <c r="G32" i="2"/>
  <c r="G33" i="2"/>
  <c r="G22" i="2"/>
  <c r="G23" i="2"/>
  <c r="G24" i="2"/>
  <c r="G25" i="2"/>
  <c r="G26" i="2"/>
  <c r="G27" i="2"/>
  <c r="O9" i="2"/>
  <c r="O13" i="2"/>
  <c r="O12" i="2"/>
  <c r="P13" i="2"/>
  <c r="P12" i="2"/>
  <c r="D6" i="6"/>
  <c r="M33" i="1"/>
  <c r="F4" i="4"/>
  <c r="D12" i="6"/>
  <c r="C12" i="6"/>
  <c r="C11" i="6"/>
  <c r="C10" i="6"/>
  <c r="J18" i="6" l="1"/>
  <c r="C39" i="6"/>
  <c r="D11" i="6"/>
  <c r="D10" i="6"/>
  <c r="J19" i="6"/>
  <c r="Z77" i="6"/>
  <c r="Z74" i="6"/>
  <c r="F7" i="3"/>
  <c r="F13" i="1"/>
  <c r="C13" i="6" s="1"/>
  <c r="C4" i="4"/>
  <c r="C14" i="6" l="1"/>
  <c r="C14" i="3"/>
  <c r="Q4" i="1" s="1"/>
  <c r="J2" i="6" s="1"/>
  <c r="F11" i="3"/>
  <c r="F10" i="3"/>
  <c r="F9" i="3"/>
  <c r="F8" i="3"/>
  <c r="G99" i="2"/>
  <c r="G98" i="2"/>
  <c r="K97" i="2"/>
  <c r="J97" i="2"/>
  <c r="I97" i="2"/>
  <c r="G97" i="2"/>
  <c r="G96" i="2"/>
  <c r="G95" i="2"/>
  <c r="K94" i="2"/>
  <c r="J94" i="2"/>
  <c r="I94" i="2"/>
  <c r="G94" i="2"/>
  <c r="G93" i="2"/>
  <c r="G92" i="2"/>
  <c r="K91" i="2"/>
  <c r="J91" i="2"/>
  <c r="I91" i="2"/>
  <c r="G91" i="2"/>
  <c r="G90" i="2"/>
  <c r="G89" i="2"/>
  <c r="K88" i="2"/>
  <c r="J88" i="2"/>
  <c r="I88" i="2"/>
  <c r="G88" i="2"/>
  <c r="G87" i="2"/>
  <c r="G86" i="2"/>
  <c r="K85" i="2"/>
  <c r="J85" i="2"/>
  <c r="I85" i="2"/>
  <c r="G85" i="2"/>
  <c r="G84" i="2"/>
  <c r="G83" i="2"/>
  <c r="K82" i="2"/>
  <c r="J82" i="2"/>
  <c r="I82" i="2"/>
  <c r="G82" i="2"/>
  <c r="G81" i="2"/>
  <c r="G80" i="2"/>
  <c r="K79" i="2"/>
  <c r="J79" i="2"/>
  <c r="I79" i="2"/>
  <c r="G79" i="2"/>
  <c r="G78" i="2"/>
  <c r="G77" i="2"/>
  <c r="K76" i="2"/>
  <c r="J76" i="2"/>
  <c r="I76" i="2"/>
  <c r="G76" i="2"/>
  <c r="G75" i="2"/>
  <c r="G74" i="2"/>
  <c r="K73" i="2"/>
  <c r="J73" i="2"/>
  <c r="I73" i="2"/>
  <c r="G73" i="2"/>
  <c r="G72" i="2"/>
  <c r="G71" i="2"/>
  <c r="K70" i="2"/>
  <c r="J70" i="2"/>
  <c r="I70" i="2"/>
  <c r="G70" i="2"/>
  <c r="G69" i="2"/>
  <c r="G68" i="2"/>
  <c r="K67" i="2"/>
  <c r="J67" i="2"/>
  <c r="I67" i="2"/>
  <c r="G67" i="2"/>
  <c r="G66" i="2"/>
  <c r="G65" i="2"/>
  <c r="K64" i="2"/>
  <c r="J64" i="2"/>
  <c r="I64" i="2"/>
  <c r="G64" i="2"/>
  <c r="G63" i="2"/>
  <c r="G62" i="2"/>
  <c r="K61" i="2"/>
  <c r="J61" i="2"/>
  <c r="I61" i="2"/>
  <c r="G61" i="2"/>
  <c r="G60" i="2"/>
  <c r="G59" i="2"/>
  <c r="K58" i="2"/>
  <c r="J58" i="2"/>
  <c r="I58" i="2"/>
  <c r="G58" i="2"/>
  <c r="G57" i="2"/>
  <c r="G56" i="2"/>
  <c r="K55" i="2"/>
  <c r="J55" i="2"/>
  <c r="I55" i="2"/>
  <c r="G55" i="2"/>
  <c r="G54" i="2"/>
  <c r="G53" i="2"/>
  <c r="K52" i="2"/>
  <c r="J52" i="2"/>
  <c r="I52" i="2"/>
  <c r="G52" i="2"/>
  <c r="G51" i="2"/>
  <c r="G50" i="2"/>
  <c r="K49" i="2"/>
  <c r="J49" i="2"/>
  <c r="I49" i="2"/>
  <c r="G49" i="2"/>
  <c r="G48" i="2"/>
  <c r="G47" i="2"/>
  <c r="K46" i="2"/>
  <c r="J46" i="2"/>
  <c r="I46" i="2"/>
  <c r="G46" i="2"/>
  <c r="G45" i="2"/>
  <c r="G44" i="2"/>
  <c r="K43" i="2"/>
  <c r="J43" i="2"/>
  <c r="I43" i="2"/>
  <c r="G43" i="2"/>
  <c r="G42" i="2"/>
  <c r="G41" i="2"/>
  <c r="K40" i="2"/>
  <c r="J40" i="2"/>
  <c r="I40" i="2"/>
  <c r="G40" i="2"/>
  <c r="G39" i="2"/>
  <c r="G38" i="2"/>
  <c r="K37" i="2"/>
  <c r="J37" i="2"/>
  <c r="I37" i="2"/>
  <c r="G37" i="2"/>
  <c r="G36" i="2"/>
  <c r="G35" i="2"/>
  <c r="K34" i="2"/>
  <c r="J34" i="2"/>
  <c r="I34" i="2"/>
  <c r="G34" i="2"/>
  <c r="J31" i="2"/>
  <c r="I31" i="2"/>
  <c r="J28" i="2"/>
  <c r="I28" i="2"/>
  <c r="J25" i="2"/>
  <c r="I25" i="2"/>
  <c r="K25" i="2" s="1"/>
  <c r="J22" i="2"/>
  <c r="I22" i="2"/>
  <c r="K22" i="2" s="1"/>
  <c r="G21" i="2"/>
  <c r="G20" i="2"/>
  <c r="J19" i="2"/>
  <c r="I19" i="2"/>
  <c r="G19" i="2"/>
  <c r="G18" i="2"/>
  <c r="G17" i="2"/>
  <c r="J16" i="2"/>
  <c r="I16" i="2"/>
  <c r="G16" i="2"/>
  <c r="G15" i="2"/>
  <c r="G14" i="2"/>
  <c r="N36" i="1"/>
  <c r="D42" i="6" s="1"/>
  <c r="J13" i="2"/>
  <c r="I13" i="2"/>
  <c r="G13" i="2"/>
  <c r="N35" i="1"/>
  <c r="D41" i="6" s="1"/>
  <c r="G12" i="2"/>
  <c r="G11" i="2"/>
  <c r="J10" i="2"/>
  <c r="I10" i="2"/>
  <c r="G10" i="2"/>
  <c r="O14" i="2" l="1"/>
  <c r="C17" i="3"/>
  <c r="C16" i="3"/>
  <c r="C15" i="3"/>
  <c r="K13" i="2"/>
  <c r="D17" i="3"/>
  <c r="F17" i="3"/>
  <c r="K19" i="2"/>
  <c r="K16" i="2"/>
  <c r="O16" i="2"/>
  <c r="M36" i="1"/>
  <c r="C42" i="6" s="1"/>
  <c r="K31" i="2"/>
  <c r="K28" i="2"/>
  <c r="K10" i="2"/>
  <c r="P14" i="2" l="1"/>
  <c r="M37" i="1"/>
  <c r="C43" i="6" s="1"/>
  <c r="N37" i="1" l="1"/>
  <c r="D43" i="6" s="1"/>
  <c r="G13" i="1"/>
  <c r="E8" i="4"/>
  <c r="D20" i="1" l="1"/>
  <c r="D13" i="6"/>
  <c r="E14" i="6" s="1"/>
  <c r="V43" i="6" s="1"/>
  <c r="V44" i="6" s="1"/>
  <c r="F9" i="4"/>
  <c r="E9" i="4"/>
  <c r="F8" i="4"/>
  <c r="D19" i="1"/>
  <c r="H14" i="1"/>
  <c r="C22" i="1"/>
  <c r="C19" i="1"/>
  <c r="C19" i="6" s="1"/>
  <c r="F14" i="1"/>
  <c r="C20" i="1"/>
  <c r="C20" i="6" s="1"/>
  <c r="D20" i="6" l="1"/>
  <c r="G9" i="4"/>
  <c r="D19" i="6"/>
  <c r="G8" i="4"/>
  <c r="D22" i="1"/>
  <c r="O14" i="1" s="1"/>
  <c r="E22" i="1"/>
  <c r="E21" i="6" s="1"/>
  <c r="C21" i="6"/>
  <c r="H13" i="1"/>
  <c r="E13" i="6" s="1"/>
  <c r="F20" i="1"/>
  <c r="F20" i="6" s="1"/>
  <c r="E20" i="1"/>
  <c r="E20" i="6" s="1"/>
  <c r="E11" i="4"/>
  <c r="F10" i="4"/>
  <c r="E10" i="4"/>
  <c r="F11" i="4"/>
  <c r="F22" i="1"/>
  <c r="F19" i="1"/>
  <c r="F19" i="6" s="1"/>
  <c r="E19" i="1"/>
  <c r="E19" i="6" s="1"/>
  <c r="H10" i="1"/>
  <c r="E10" i="6" s="1"/>
  <c r="G11" i="4" l="1"/>
  <c r="D21" i="6"/>
  <c r="Q10" i="1"/>
  <c r="D7" i="6" s="1"/>
  <c r="F21" i="6"/>
  <c r="H11" i="1"/>
  <c r="E11" i="6" s="1"/>
  <c r="H12" i="1"/>
  <c r="E12" i="6" s="1"/>
  <c r="H13" i="6" l="1"/>
  <c r="C34" i="1"/>
  <c r="J20" i="6" s="1"/>
  <c r="C35" i="1" l="1"/>
  <c r="E32" i="1" s="1"/>
  <c r="E33" i="1" s="1"/>
  <c r="H23" i="6" l="1"/>
  <c r="J21" i="6"/>
  <c r="H22" i="6"/>
  <c r="T86" i="1"/>
  <c r="T89" i="1"/>
  <c r="M35" i="1" l="1"/>
  <c r="M38" i="1" l="1"/>
  <c r="C44" i="6" s="1"/>
  <c r="C41" i="6"/>
</calcChain>
</file>

<file path=xl/sharedStrings.xml><?xml version="1.0" encoding="utf-8"?>
<sst xmlns="http://schemas.openxmlformats.org/spreadsheetml/2006/main" count="190" uniqueCount="147">
  <si>
    <t>Name</t>
  </si>
  <si>
    <t>Date</t>
  </si>
  <si>
    <t>Diagnosis or Group</t>
  </si>
  <si>
    <t>Correct</t>
  </si>
  <si>
    <t>Commissions</t>
  </si>
  <si>
    <t>Accuracy Index</t>
  </si>
  <si>
    <t>1.8 sec.</t>
  </si>
  <si>
    <t>Score</t>
  </si>
  <si>
    <t>z score</t>
  </si>
  <si>
    <t>T score</t>
  </si>
  <si>
    <t>SS</t>
  </si>
  <si>
    <t>1.4 sec.</t>
  </si>
  <si>
    <t>1.0 sec.</t>
  </si>
  <si>
    <t xml:space="preserve">Target Hit % </t>
  </si>
  <si>
    <t>ACCURACY INDEX ACROSS TRIALS</t>
  </si>
  <si>
    <t>Difficulty Rating</t>
  </si>
  <si>
    <t>Little difficult</t>
  </si>
  <si>
    <t>Estimated Accuracy %</t>
  </si>
  <si>
    <t>Actual Target Accuracy</t>
  </si>
  <si>
    <t>Difference</t>
  </si>
  <si>
    <t>Means</t>
  </si>
  <si>
    <t>sds</t>
  </si>
  <si>
    <t>Easy</t>
  </si>
  <si>
    <t>Group Avg Correct</t>
  </si>
  <si>
    <t>A little difficult</t>
  </si>
  <si>
    <t>Group Avg Commissions</t>
  </si>
  <si>
    <t>Moderately difficult</t>
  </si>
  <si>
    <t>Extremely difficult</t>
  </si>
  <si>
    <t>Sample</t>
  </si>
  <si>
    <t>Administration #</t>
  </si>
  <si>
    <t>STATISTICS</t>
  </si>
  <si>
    <t>Average AI =</t>
  </si>
  <si>
    <t>Range =</t>
  </si>
  <si>
    <t>SD =</t>
  </si>
  <si>
    <t>Note</t>
  </si>
  <si>
    <t>AI</t>
  </si>
  <si>
    <t>Group stats</t>
  </si>
  <si>
    <t>Mean</t>
  </si>
  <si>
    <t>sd</t>
  </si>
  <si>
    <t>Commission</t>
  </si>
  <si>
    <t>HEALTHY NORMS</t>
  </si>
  <si>
    <t>SD</t>
  </si>
  <si>
    <t>Target %</t>
  </si>
  <si>
    <t>REPEAT ASSESSMENTS</t>
  </si>
  <si>
    <t>Group Name</t>
  </si>
  <si>
    <t>COMPARISON TO HEALTHY CONTROLS</t>
  </si>
  <si>
    <t>to</t>
  </si>
  <si>
    <t>Group A.I.</t>
  </si>
  <si>
    <t>RESULTS SUMMARY</t>
  </si>
  <si>
    <t>Count</t>
  </si>
  <si>
    <t xml:space="preserve">Totals </t>
  </si>
  <si>
    <t>TENS TEST RESULTS (Correct vs. Commissions)</t>
  </si>
  <si>
    <t>Trial (secs)</t>
  </si>
  <si>
    <t>Range</t>
  </si>
  <si>
    <t>Number of Assessments =</t>
  </si>
  <si>
    <t>REPEAT TENS TEST ASSESSMENTS</t>
  </si>
  <si>
    <t>SET UP OTHER TENS TEST GROUP DATA</t>
  </si>
  <si>
    <t>Estimated Target %</t>
  </si>
  <si>
    <t>Memory concerns</t>
  </si>
  <si>
    <t>Difficulty rating</t>
  </si>
  <si>
    <t>Interpretation</t>
  </si>
  <si>
    <t>My group</t>
  </si>
  <si>
    <t>Age</t>
  </si>
  <si>
    <t>Ed</t>
  </si>
  <si>
    <t>Sex</t>
  </si>
  <si>
    <t>Male</t>
  </si>
  <si>
    <t>Rate using drop-down list</t>
  </si>
  <si>
    <t>GROUP RESULTS</t>
  </si>
  <si>
    <t>INTERVAL (secs)</t>
  </si>
  <si>
    <t>Ss AI vs. this group =</t>
  </si>
  <si>
    <t>Sam Sample</t>
  </si>
  <si>
    <t>Enter ID</t>
  </si>
  <si>
    <t>Scores</t>
  </si>
  <si>
    <t>Accuracy Indexes</t>
  </si>
  <si>
    <t>Sample data</t>
  </si>
  <si>
    <t>Enter</t>
  </si>
  <si>
    <t>CORRECT and COMMISSIONS</t>
  </si>
  <si>
    <t>Group name</t>
  </si>
  <si>
    <t>Number of Administrations</t>
  </si>
  <si>
    <t>A.I. vs group</t>
  </si>
  <si>
    <t>ACCURACY INDEXES</t>
  </si>
  <si>
    <t>Interval secs.</t>
  </si>
  <si>
    <t>1.8</t>
  </si>
  <si>
    <t>1.4</t>
  </si>
  <si>
    <t>1.0</t>
  </si>
  <si>
    <t xml:space="preserve"> Totals </t>
  </si>
  <si>
    <t xml:space="preserve"> Target Hit % </t>
  </si>
  <si>
    <t xml:space="preserve">z = </t>
  </si>
  <si>
    <r>
      <t>SS</t>
    </r>
    <r>
      <rPr>
        <sz val="6"/>
        <rFont val="Calibri (Body)"/>
      </rPr>
      <t xml:space="preserve"> (avg 100, sd 15)</t>
    </r>
  </si>
  <si>
    <r>
      <t>T score</t>
    </r>
    <r>
      <rPr>
        <sz val="6"/>
        <rFont val="Calibri (Body)"/>
      </rPr>
      <t xml:space="preserve"> (avg 50, sd 10)</t>
    </r>
  </si>
  <si>
    <t>Accuracy Index (AI)</t>
  </si>
  <si>
    <t>z (sd) score</t>
  </si>
  <si>
    <r>
      <t xml:space="preserve">A raw score </t>
    </r>
    <r>
      <rPr>
        <u/>
        <sz val="8"/>
        <rFont val="Calibri (Body)"/>
      </rPr>
      <t>&gt;</t>
    </r>
    <r>
      <rPr>
        <sz val="8"/>
        <rFont val="Calibri"/>
        <family val="2"/>
        <scheme val="minor"/>
      </rPr>
      <t xml:space="preserve"> 1.5 sd below the healthy norm is in </t>
    </r>
    <r>
      <rPr>
        <sz val="8"/>
        <color rgb="FFFF0000"/>
        <rFont val="Calibri (Body)"/>
      </rPr>
      <t>red</t>
    </r>
    <r>
      <rPr>
        <sz val="8"/>
        <rFont val="Calibri"/>
        <family val="2"/>
        <scheme val="minor"/>
      </rPr>
      <t>.</t>
    </r>
  </si>
  <si>
    <t>RESPONDENT vs HEALTHY NORMS</t>
  </si>
  <si>
    <t>Name of Respondent</t>
  </si>
  <si>
    <t>Group or Diagnosis</t>
  </si>
  <si>
    <t>1.1.26</t>
  </si>
  <si>
    <t>2..1.26</t>
  </si>
  <si>
    <t>3.1.26</t>
  </si>
  <si>
    <t>The results are automatically entered into the LOCAL OR OTHER GROUP norms table on the Scoring tab.</t>
  </si>
  <si>
    <t xml:space="preserve"> Commission errors:  Higher score = more impairment</t>
  </si>
  <si>
    <t xml:space="preserve">  z score</t>
  </si>
  <si>
    <t>7.1.26</t>
  </si>
  <si>
    <t>Number of Assessments</t>
  </si>
  <si>
    <t>© Glen D. Greenberg PhD</t>
  </si>
  <si>
    <t>greenbergg22@gmail.com</t>
  </si>
  <si>
    <t>Results Summary</t>
  </si>
  <si>
    <r>
      <rPr>
        <sz val="14"/>
        <color theme="1"/>
        <rFont val="Calibri"/>
        <family val="2"/>
        <scheme val="minor"/>
      </rPr>
      <t>TENS TEST</t>
    </r>
    <r>
      <rPr>
        <sz val="8"/>
        <color theme="1"/>
        <rFont val="Calibri Light"/>
        <family val="2"/>
        <scheme val="major"/>
      </rPr>
      <t xml:space="preserve"> © 4.1</t>
    </r>
  </si>
  <si>
    <t>DIRECTIONS</t>
  </si>
  <si>
    <t>Stimulus interval</t>
  </si>
  <si>
    <t>Number of commission errors</t>
  </si>
  <si>
    <t>1.8 seconds</t>
  </si>
  <si>
    <t>1.4 seconds</t>
  </si>
  <si>
    <t>1.0 seconds</t>
  </si>
  <si>
    <t>Analyze and interpret this table of correct hits and commission errors over the three increasing faster auditory concentration trials:</t>
  </si>
  <si>
    <t>Number correct out of 15</t>
  </si>
  <si>
    <t>Google Gemini</t>
  </si>
  <si>
    <t>Copy and paste the following into an AI chatbox to obtain an interpretation of the Tens Test results</t>
  </si>
  <si>
    <t>Go to AI Interpretation sheet</t>
  </si>
  <si>
    <r>
      <rPr>
        <sz val="20"/>
        <color rgb="FFFFFF00"/>
        <rFont val="Calibri"/>
        <family val="2"/>
      </rPr>
      <t xml:space="preserve"> Tens Test </t>
    </r>
    <r>
      <rPr>
        <sz val="9"/>
        <color rgb="FFFFFF00"/>
        <rFont val="Calibri"/>
        <family val="2"/>
      </rPr>
      <t>©</t>
    </r>
    <r>
      <rPr>
        <sz val="8"/>
        <color rgb="FFFFFF00"/>
        <rFont val="Calibri"/>
        <family val="2"/>
      </rPr>
      <t xml:space="preserve">                                             </t>
    </r>
    <r>
      <rPr>
        <sz val="10"/>
        <color rgb="FFFFFF00"/>
        <rFont val="Calibri"/>
        <family val="2"/>
      </rPr>
      <t xml:space="preserve">   AI interpretation of results</t>
    </r>
  </si>
  <si>
    <t>Respondent #</t>
  </si>
  <si>
    <t>RESPONDENT RESULTS</t>
  </si>
  <si>
    <t>OpenAI ChatCPT</t>
  </si>
  <si>
    <t>Specific disease sample</t>
  </si>
  <si>
    <t>RESPONDENT PERFORMANCE COMPARED TO HEALTHY NORMS</t>
  </si>
  <si>
    <t>RESPONDENT DIFFERENCE</t>
  </si>
  <si>
    <t>RESPONDENT RATING OF PERFORMANCE</t>
  </si>
  <si>
    <t>Enter Number
Correct</t>
  </si>
  <si>
    <r>
      <rPr>
        <sz val="20"/>
        <color rgb="FFFFFF00"/>
        <rFont val="Calibri"/>
        <family val="2"/>
      </rPr>
      <t xml:space="preserve">               </t>
    </r>
    <r>
      <rPr>
        <sz val="8"/>
        <color rgb="FFFFFF00"/>
        <rFont val="Calibri"/>
        <family val="2"/>
      </rPr>
      <t xml:space="preserve">
</t>
    </r>
    <r>
      <rPr>
        <sz val="16"/>
        <color rgb="FFFFFF00"/>
        <rFont val="Calibri"/>
        <family val="2"/>
      </rPr>
      <t xml:space="preserve">                   </t>
    </r>
  </si>
  <si>
    <r>
      <t xml:space="preserve"> Tens Test </t>
    </r>
    <r>
      <rPr>
        <sz val="9"/>
        <color rgb="FFFFFF00"/>
        <rFont val="Calibri"/>
        <family val="2"/>
      </rPr>
      <t>© v. 4.1</t>
    </r>
    <r>
      <rPr>
        <sz val="16"/>
        <color rgb="FFFFFF00"/>
        <rFont val="Calibri"/>
        <family val="2"/>
      </rPr>
      <t xml:space="preserve">
</t>
    </r>
    <r>
      <rPr>
        <sz val="9"/>
        <color rgb="FFFFFF00"/>
        <rFont val="Calibri"/>
        <family val="2"/>
      </rPr>
      <t xml:space="preserve">  A test of sustained and selective auditory concentration</t>
    </r>
  </si>
  <si>
    <t>ACCURACY INDEX (Total Score)</t>
  </si>
  <si>
    <t>Date of testing</t>
  </si>
  <si>
    <t>© Glen D. Greenberg, PhD, ABPP
www.greenbergg22@gmail.com</t>
  </si>
  <si>
    <t>Other AI prompts to consider based on the respondents results (Paste into Chat Box)</t>
  </si>
  <si>
    <t>What activities would be helpful to enhance a person's ability to sustain concentration?</t>
  </si>
  <si>
    <t>Actual Target %</t>
  </si>
  <si>
    <t xml:space="preserve">                     1.8  secs.                       1.4 secs.                       1.0 secs.</t>
  </si>
  <si>
    <t>When someone can initially pay attention well but then experiences difficulty when required to concentrate over a long period, what could be the causes and what strategies could help them?</t>
  </si>
  <si>
    <r>
      <t xml:space="preserve">LOCAL or OTHER GROUP NORMS  </t>
    </r>
    <r>
      <rPr>
        <sz val="7"/>
        <color theme="1"/>
        <rFont val="Calibri"/>
        <family val="2"/>
        <scheme val="minor"/>
      </rPr>
      <t>Available</t>
    </r>
    <r>
      <rPr>
        <b/>
        <sz val="7"/>
        <color theme="1"/>
        <rFont val="Calibri"/>
        <family val="2"/>
        <scheme val="minor"/>
      </rPr>
      <t xml:space="preserve"> </t>
    </r>
    <r>
      <rPr>
        <sz val="7"/>
        <color theme="1"/>
        <rFont val="Calibri"/>
        <family val="2"/>
        <scheme val="minor"/>
      </rPr>
      <t>i</t>
    </r>
    <r>
      <rPr>
        <sz val="7"/>
        <color theme="1"/>
        <rFont val="Calibri (Body)"/>
      </rPr>
      <t>f other group data has been entered</t>
    </r>
  </si>
  <si>
    <t>This sheet organizes and analyzes your group data. Enter the number correct and the number of commissions for each subject for the 3 trials. The Accuracy Index for each subject and for the group will be automatically generated. This table accomodates 30 subjects.</t>
  </si>
  <si>
    <t>Respondent's scores compared to Local or Other Group norms (Optional)</t>
  </si>
  <si>
    <t>Enter Number of
Commissions</t>
  </si>
  <si>
    <t>When someone can initially pay attention well but then experiences difficulty when required to rapidly think, what could be the causes and which strategies can help them?</t>
  </si>
  <si>
    <t>The Accuracy Index is the best measure of performance as it takes into account the number of correct responses and commissions.</t>
  </si>
  <si>
    <r>
      <t xml:space="preserve">
</t>
    </r>
    <r>
      <rPr>
        <b/>
        <sz val="9"/>
        <color theme="1"/>
        <rFont val="Calibri"/>
        <family val="2"/>
        <scheme val="minor"/>
      </rPr>
      <t xml:space="preserve">1)  </t>
    </r>
    <r>
      <rPr>
        <sz val="9"/>
        <color theme="1"/>
        <rFont val="Calibri"/>
        <family val="2"/>
        <scheme val="minor"/>
      </rPr>
      <t xml:space="preserve">Enter the number of correct responses and commission errors for each trial.
</t>
    </r>
    <r>
      <rPr>
        <b/>
        <sz val="9"/>
        <color theme="1"/>
        <rFont val="Calibri"/>
        <family val="2"/>
        <scheme val="minor"/>
      </rPr>
      <t>2)</t>
    </r>
    <r>
      <rPr>
        <sz val="9"/>
        <color theme="1"/>
        <rFont val="Calibri"/>
        <family val="2"/>
        <scheme val="minor"/>
      </rPr>
      <t xml:space="preserve">  Enter the respondents estimated target identification percent. 
</t>
    </r>
    <r>
      <rPr>
        <b/>
        <sz val="9"/>
        <color theme="1"/>
        <rFont val="Calibri"/>
        <family val="2"/>
        <scheme val="minor"/>
      </rPr>
      <t>3)</t>
    </r>
    <r>
      <rPr>
        <sz val="9"/>
        <color theme="1"/>
        <rFont val="Calibri"/>
        <family val="2"/>
        <scheme val="minor"/>
      </rPr>
      <t xml:space="preserve">  OPTIONAL: Enter local or other group norms for analysis if that information is available.</t>
    </r>
  </si>
  <si>
    <t>Click Set Up Other Group Data tab to add a specific comparison group. The results will be automatically entered below.  Click here to Set up Other Group Data.</t>
  </si>
  <si>
    <t>ACCURACY INDEX  ACROSS TRIALS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</si>
</sst>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7" x14ac:knownFonts="1">
    <font>
      <sz val="9"/>
      <name val="Arial"/>
    </font>
    <font>
      <sz val="8"/>
      <name val="Arial"/>
      <family val="2"/>
    </font>
    <font>
      <sz val="9"/>
      <color indexed="8"/>
      <name val="Tahoma"/>
      <family val="2"/>
    </font>
    <font>
      <b/>
      <sz val="9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6"/>
      <color indexed="8"/>
      <name val="Arial"/>
      <family val="2"/>
    </font>
    <font>
      <sz val="11"/>
      <name val="Times New Roman"/>
      <family val="1"/>
    </font>
    <font>
      <sz val="8"/>
      <color theme="0" tint="-0.499984740745262"/>
      <name val="Arial"/>
      <family val="2"/>
    </font>
    <font>
      <sz val="18"/>
      <name val="Century Gothic"/>
      <family val="2"/>
    </font>
    <font>
      <u/>
      <sz val="9"/>
      <color theme="10"/>
      <name val="Arial"/>
      <family val="2"/>
    </font>
    <font>
      <u/>
      <sz val="9"/>
      <color theme="11"/>
      <name val="Arial"/>
      <family val="2"/>
    </font>
    <font>
      <b/>
      <sz val="13"/>
      <color theme="3"/>
      <name val="Calibri"/>
      <family val="2"/>
      <scheme val="minor"/>
    </font>
    <font>
      <sz val="9"/>
      <color theme="0"/>
      <name val="Arial"/>
      <family val="2"/>
    </font>
    <font>
      <sz val="11"/>
      <color theme="0"/>
      <name val="Times New Roman"/>
      <family val="1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u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9"/>
      <color rgb="FFFFFF00"/>
      <name val="Calibri"/>
      <family val="2"/>
      <scheme val="minor"/>
    </font>
    <font>
      <b/>
      <sz val="8"/>
      <name val="Calibri"/>
      <family val="2"/>
    </font>
    <font>
      <b/>
      <sz val="9"/>
      <color theme="0"/>
      <name val="Calibri"/>
      <family val="2"/>
      <scheme val="minor"/>
    </font>
    <font>
      <sz val="9"/>
      <color theme="1"/>
      <name val="Arial"/>
      <family val="2"/>
    </font>
    <font>
      <b/>
      <sz val="8"/>
      <color theme="4" tint="-0.249977111117893"/>
      <name val="Calibri"/>
      <family val="2"/>
      <scheme val="minor"/>
    </font>
    <font>
      <sz val="8"/>
      <color theme="0"/>
      <name val="Arial"/>
      <family val="2"/>
    </font>
    <font>
      <sz val="9"/>
      <color rgb="FFFF0000"/>
      <name val="Arial"/>
      <family val="2"/>
    </font>
    <font>
      <sz val="9"/>
      <color theme="0" tint="-0.499984740745262"/>
      <name val="Arial"/>
      <family val="2"/>
    </font>
    <font>
      <sz val="9"/>
      <color theme="0" tint="-0.499984740745262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6"/>
      <color rgb="FFFFFF00"/>
      <name val="Calibri"/>
      <family val="2"/>
    </font>
    <font>
      <sz val="8"/>
      <color theme="4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7"/>
      <color theme="1"/>
      <name val="Calibri Light"/>
      <family val="2"/>
      <scheme val="major"/>
    </font>
    <font>
      <sz val="8"/>
      <color rgb="FFFFFF00"/>
      <name val="Calibri"/>
      <family val="2"/>
      <scheme val="minor"/>
    </font>
    <font>
      <sz val="9"/>
      <color rgb="FFFFFF00"/>
      <name val="Arial"/>
      <family val="2"/>
    </font>
    <font>
      <sz val="7"/>
      <name val="Calibri"/>
      <family val="2"/>
      <scheme val="minor"/>
    </font>
    <font>
      <sz val="8"/>
      <name val="Calibri Light"/>
      <family val="2"/>
      <scheme val="major"/>
    </font>
    <font>
      <b/>
      <sz val="8"/>
      <name val="Arial"/>
      <family val="2"/>
    </font>
    <font>
      <sz val="7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1" tint="0.249977111117893"/>
      <name val="Calibri"/>
      <family val="2"/>
      <scheme val="minor"/>
    </font>
    <font>
      <sz val="7"/>
      <color indexed="8"/>
      <name val="Century Gothic"/>
      <family val="1"/>
    </font>
    <font>
      <sz val="7"/>
      <name val="Arial"/>
      <family val="2"/>
    </font>
    <font>
      <sz val="7"/>
      <color theme="1"/>
      <name val="Calibri"/>
      <family val="2"/>
      <scheme val="minor"/>
    </font>
    <font>
      <b/>
      <sz val="8"/>
      <color theme="4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color theme="9"/>
      <name val="Arial"/>
      <family val="2"/>
    </font>
    <font>
      <sz val="7"/>
      <color theme="4" tint="-0.249977111117893"/>
      <name val="Calibri"/>
      <family val="2"/>
      <scheme val="minor"/>
    </font>
    <font>
      <sz val="9"/>
      <color rgb="FFFFFF00"/>
      <name val="Calibri"/>
      <family val="2"/>
      <scheme val="minor"/>
    </font>
    <font>
      <sz val="9"/>
      <color rgb="FF0070C0"/>
      <name val="Calibri"/>
      <family val="2"/>
      <scheme val="minor"/>
    </font>
    <font>
      <i/>
      <sz val="9"/>
      <name val="Calibri"/>
      <family val="2"/>
      <scheme val="minor"/>
    </font>
    <font>
      <sz val="8"/>
      <color theme="9" tint="0.59999389629810485"/>
      <name val="Calibri"/>
      <family val="2"/>
      <scheme val="minor"/>
    </font>
    <font>
      <u/>
      <sz val="8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8"/>
      <name val="Arial"/>
      <family val="2"/>
    </font>
    <font>
      <b/>
      <sz val="9"/>
      <color theme="4" tint="-0.249977111117893"/>
      <name val="Calibri"/>
      <family val="2"/>
      <scheme val="minor"/>
    </font>
    <font>
      <sz val="8"/>
      <color theme="1"/>
      <name val="Arial"/>
      <family val="2"/>
    </font>
    <font>
      <b/>
      <sz val="10"/>
      <color theme="0"/>
      <name val="Calibri"/>
      <family val="2"/>
      <scheme val="minor"/>
    </font>
    <font>
      <i/>
      <sz val="7"/>
      <name val="Calibri"/>
      <family val="2"/>
      <scheme val="minor"/>
    </font>
    <font>
      <b/>
      <sz val="8"/>
      <color theme="1"/>
      <name val="Helvetica Neue"/>
      <family val="2"/>
    </font>
    <font>
      <u/>
      <sz val="8"/>
      <color theme="10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E435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8"/>
      <color rgb="FFFF690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rgb="FFFFFF00"/>
      <name val="Calibri"/>
      <family val="2"/>
    </font>
    <font>
      <sz val="6"/>
      <name val="Calibri (Body)"/>
    </font>
    <font>
      <sz val="10"/>
      <color theme="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 (Body)"/>
    </font>
    <font>
      <b/>
      <sz val="9"/>
      <color rgb="FF00B050"/>
      <name val="Calibri"/>
      <family val="2"/>
      <scheme val="minor"/>
    </font>
    <font>
      <sz val="9"/>
      <color rgb="FF00B050"/>
      <name val="Calibri"/>
      <family val="2"/>
      <scheme val="minor"/>
    </font>
    <font>
      <sz val="9"/>
      <color theme="9"/>
      <name val="Calibri"/>
      <family val="2"/>
      <scheme val="minor"/>
    </font>
    <font>
      <sz val="10"/>
      <color rgb="FFFFFF00"/>
      <name val="Calibri (Body)"/>
    </font>
    <font>
      <u/>
      <sz val="8"/>
      <name val="Calibri (Body)"/>
    </font>
    <font>
      <sz val="8"/>
      <name val="Calibri"/>
      <family val="2"/>
    </font>
    <font>
      <sz val="9"/>
      <color theme="1"/>
      <name val="Calibri"/>
      <family val="2"/>
    </font>
    <font>
      <i/>
      <sz val="8"/>
      <name val="Calibri"/>
      <family val="2"/>
      <scheme val="minor"/>
    </font>
    <font>
      <sz val="7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4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8"/>
      <color rgb="FFFFFF00"/>
      <name val="Calibri"/>
      <family val="2"/>
    </font>
    <font>
      <sz val="9"/>
      <color rgb="FFFFFF00"/>
      <name val="Calibri"/>
      <family val="2"/>
    </font>
    <font>
      <b/>
      <sz val="10"/>
      <color theme="9" tint="0.39997558519241921"/>
      <name val="Calibri"/>
      <family val="2"/>
      <scheme val="minor"/>
    </font>
    <font>
      <sz val="10"/>
      <name val="Calibri"/>
      <family val="2"/>
      <scheme val="minor"/>
    </font>
    <font>
      <sz val="10"/>
      <color rgb="FFFFFF00"/>
      <name val="Calibri"/>
      <family val="2"/>
    </font>
    <font>
      <sz val="11"/>
      <name val="Arial"/>
      <family val="2"/>
    </font>
    <font>
      <u/>
      <sz val="11"/>
      <color theme="0"/>
      <name val="Calibri"/>
      <family val="2"/>
      <scheme val="minor"/>
    </font>
    <font>
      <sz val="8"/>
      <color theme="9"/>
      <name val="Arial"/>
      <family val="2"/>
    </font>
    <font>
      <sz val="14"/>
      <color theme="0"/>
      <name val="Calibri"/>
      <family val="2"/>
    </font>
    <font>
      <sz val="9"/>
      <color theme="1"/>
      <name val="Calibri (Body)"/>
    </font>
    <font>
      <sz val="9"/>
      <name val="Calibri (Body)"/>
    </font>
    <font>
      <b/>
      <sz val="9"/>
      <color theme="0"/>
      <name val="Calibri (Body)"/>
    </font>
    <font>
      <b/>
      <sz val="9"/>
      <color theme="1"/>
      <name val="Calibri (Body)"/>
    </font>
    <font>
      <b/>
      <sz val="9"/>
      <name val="Calibri (Body)"/>
    </font>
    <font>
      <b/>
      <sz val="11"/>
      <color theme="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u/>
      <sz val="9"/>
      <color theme="10"/>
      <name val="Calibri"/>
      <family val="2"/>
    </font>
    <font>
      <sz val="7"/>
      <color theme="1"/>
      <name val="Calibri (Body)"/>
    </font>
    <font>
      <sz val="9"/>
      <name val="Calibri"/>
      <family val="2"/>
    </font>
    <font>
      <sz val="8"/>
      <color theme="4" tint="-0.249977111117893"/>
      <name val="Calibri"/>
      <family val="2"/>
    </font>
    <font>
      <sz val="12"/>
      <color theme="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6EBF6"/>
        <bgColor indexed="64"/>
      </patternFill>
    </fill>
  </fills>
  <borders count="12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3" tint="0.39991454817346722"/>
      </right>
      <top/>
      <bottom/>
      <diagonal/>
    </border>
    <border>
      <left style="thin">
        <color theme="3" tint="0.39988402966399123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3" tint="0.39988402966399123"/>
      </left>
      <right/>
      <top/>
      <bottom style="thin">
        <color theme="3" tint="0.39991454817346722"/>
      </bottom>
      <diagonal/>
    </border>
    <border>
      <left/>
      <right/>
      <top/>
      <bottom style="thin">
        <color theme="3" tint="0.39991454817346722"/>
      </bottom>
      <diagonal/>
    </border>
    <border>
      <left/>
      <right style="thin">
        <color theme="3" tint="0.39991454817346722"/>
      </right>
      <top/>
      <bottom style="thin">
        <color theme="3" tint="0.399914548173467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3" tint="0.39991454817346722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8" tint="0.3999450666829432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/>
      <bottom style="slantDashDot">
        <color theme="0"/>
      </bottom>
      <diagonal/>
    </border>
    <border>
      <left style="thick">
        <color theme="0"/>
      </left>
      <right style="thick">
        <color theme="0"/>
      </right>
      <top/>
      <bottom style="slantDashDot">
        <color theme="0"/>
      </bottom>
      <diagonal/>
    </border>
    <border>
      <left/>
      <right style="thick">
        <color theme="0"/>
      </right>
      <top style="slantDashDot">
        <color theme="0"/>
      </top>
      <bottom/>
      <diagonal/>
    </border>
    <border>
      <left style="thick">
        <color theme="0"/>
      </left>
      <right style="thick">
        <color theme="0"/>
      </right>
      <top style="slantDashDot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rgb="FFFFFFFF"/>
      </right>
      <top/>
      <bottom/>
      <diagonal/>
    </border>
    <border>
      <left style="double">
        <color theme="8" tint="-0.24994659260841701"/>
      </left>
      <right/>
      <top style="double">
        <color theme="8" tint="-0.24994659260841701"/>
      </top>
      <bottom/>
      <diagonal/>
    </border>
    <border>
      <left/>
      <right/>
      <top style="double">
        <color theme="8" tint="-0.24994659260841701"/>
      </top>
      <bottom/>
      <diagonal/>
    </border>
    <border>
      <left/>
      <right style="double">
        <color theme="8" tint="-0.24994659260841701"/>
      </right>
      <top style="double">
        <color theme="8" tint="-0.24994659260841701"/>
      </top>
      <bottom/>
      <diagonal/>
    </border>
    <border>
      <left style="double">
        <color theme="8" tint="-0.24994659260841701"/>
      </left>
      <right/>
      <top/>
      <bottom/>
      <diagonal/>
    </border>
    <border>
      <left/>
      <right style="double">
        <color theme="8" tint="-0.24994659260841701"/>
      </right>
      <top/>
      <bottom/>
      <diagonal/>
    </border>
    <border>
      <left style="double">
        <color theme="8" tint="-0.24994659260841701"/>
      </left>
      <right/>
      <top/>
      <bottom style="double">
        <color theme="8" tint="-0.24994659260841701"/>
      </bottom>
      <diagonal/>
    </border>
    <border>
      <left/>
      <right/>
      <top/>
      <bottom style="double">
        <color theme="8" tint="-0.24994659260841701"/>
      </bottom>
      <diagonal/>
    </border>
    <border>
      <left/>
      <right style="double">
        <color theme="8" tint="-0.24994659260841701"/>
      </right>
      <top/>
      <bottom style="double">
        <color theme="8" tint="-0.24994659260841701"/>
      </bottom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 style="medium">
        <color theme="1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medium">
        <color theme="1"/>
      </top>
      <bottom style="thin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8" tint="0.39994506668294322"/>
      </left>
      <right/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8" tint="0.39994506668294322"/>
      </top>
      <bottom style="thin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0" fillId="0" borderId="0" applyNumberFormat="0" applyFill="0" applyBorder="0" applyAlignment="0" applyProtection="0"/>
  </cellStyleXfs>
  <cellXfs count="58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 applyProtection="1">
      <alignment horizontal="center"/>
      <protection locked="0"/>
    </xf>
    <xf numFmtId="0" fontId="0" fillId="2" borderId="0" xfId="0" applyFill="1"/>
    <xf numFmtId="164" fontId="8" fillId="0" borderId="0" xfId="0" applyNumberFormat="1" applyFont="1" applyAlignment="1">
      <alignment horizontal="center"/>
    </xf>
    <xf numFmtId="164" fontId="0" fillId="0" borderId="0" xfId="0" applyNumberFormat="1"/>
    <xf numFmtId="0" fontId="5" fillId="0" borderId="0" xfId="0" applyFont="1"/>
    <xf numFmtId="0" fontId="0" fillId="0" borderId="0" xfId="0" applyAlignment="1">
      <alignment horizontal="left" vertical="center"/>
    </xf>
    <xf numFmtId="0" fontId="14" fillId="0" borderId="0" xfId="0" applyFont="1" applyProtection="1">
      <protection hidden="1"/>
    </xf>
    <xf numFmtId="0" fontId="15" fillId="0" borderId="0" xfId="0" applyFont="1" applyAlignment="1">
      <alignment vertical="center"/>
    </xf>
    <xf numFmtId="0" fontId="1" fillId="0" borderId="0" xfId="0" applyFont="1"/>
    <xf numFmtId="0" fontId="15" fillId="0" borderId="0" xfId="0" applyFont="1"/>
    <xf numFmtId="0" fontId="16" fillId="2" borderId="0" xfId="0" applyFont="1" applyFill="1" applyAlignment="1">
      <alignment vertical="center"/>
    </xf>
    <xf numFmtId="0" fontId="15" fillId="0" borderId="0" xfId="0" applyFont="1" applyAlignment="1" applyProtection="1">
      <alignment horizontal="center"/>
      <protection locked="0"/>
    </xf>
    <xf numFmtId="1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/>
    <xf numFmtId="0" fontId="23" fillId="0" borderId="0" xfId="5" applyFont="1" applyBorder="1" applyAlignment="1">
      <alignment vertical="center"/>
    </xf>
    <xf numFmtId="0" fontId="15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164" fontId="27" fillId="2" borderId="0" xfId="0" applyNumberFormat="1" applyFont="1" applyFill="1" applyAlignment="1">
      <alignment horizontal="center" vertical="center"/>
    </xf>
    <xf numFmtId="2" fontId="22" fillId="2" borderId="0" xfId="0" applyNumberFormat="1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30" fillId="2" borderId="0" xfId="0" applyFont="1" applyFill="1"/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left" vertical="center"/>
    </xf>
    <xf numFmtId="0" fontId="26" fillId="0" borderId="0" xfId="0" applyFont="1"/>
    <xf numFmtId="0" fontId="8" fillId="0" borderId="0" xfId="0" applyFont="1" applyAlignment="1" applyProtection="1">
      <alignment horizontal="center"/>
      <protection locked="0"/>
    </xf>
    <xf numFmtId="1" fontId="8" fillId="0" borderId="0" xfId="0" applyNumberFormat="1" applyFont="1" applyAlignment="1">
      <alignment horizontal="center"/>
    </xf>
    <xf numFmtId="1" fontId="8" fillId="0" borderId="0" xfId="0" applyNumberFormat="1" applyFont="1" applyAlignment="1" applyProtection="1">
      <alignment horizontal="center"/>
      <protection locked="0"/>
    </xf>
    <xf numFmtId="0" fontId="3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25" fillId="0" borderId="0" xfId="0" applyFont="1"/>
    <xf numFmtId="0" fontId="36" fillId="0" borderId="0" xfId="0" applyFont="1"/>
    <xf numFmtId="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0" fontId="14" fillId="0" borderId="0" xfId="0" applyFont="1" applyAlignment="1" applyProtection="1">
      <alignment vertical="center" wrapText="1"/>
      <protection hidden="1"/>
    </xf>
    <xf numFmtId="0" fontId="7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164" fontId="16" fillId="2" borderId="0" xfId="0" applyNumberFormat="1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165" fontId="16" fillId="2" borderId="0" xfId="0" applyNumberFormat="1" applyFont="1" applyFill="1" applyAlignment="1">
      <alignment horizontal="center" vertical="center"/>
    </xf>
    <xf numFmtId="0" fontId="29" fillId="2" borderId="0" xfId="0" applyFont="1" applyFill="1"/>
    <xf numFmtId="0" fontId="1" fillId="2" borderId="0" xfId="0" applyFont="1" applyFill="1" applyAlignment="1" applyProtection="1">
      <alignment horizontal="center"/>
      <protection locked="0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16" fillId="2" borderId="0" xfId="0" applyFont="1" applyFill="1"/>
    <xf numFmtId="1" fontId="16" fillId="2" borderId="0" xfId="0" applyNumberFormat="1" applyFont="1" applyFill="1" applyAlignment="1">
      <alignment horizontal="center"/>
    </xf>
    <xf numFmtId="9" fontId="16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/>
    </xf>
    <xf numFmtId="0" fontId="5" fillId="2" borderId="0" xfId="0" applyFont="1" applyFill="1"/>
    <xf numFmtId="0" fontId="18" fillId="0" borderId="0" xfId="0" applyFont="1"/>
    <xf numFmtId="1" fontId="32" fillId="0" borderId="0" xfId="0" applyNumberFormat="1" applyFont="1" applyAlignment="1">
      <alignment horizontal="center"/>
    </xf>
    <xf numFmtId="1" fontId="32" fillId="0" borderId="0" xfId="0" applyNumberFormat="1" applyFont="1" applyAlignment="1" applyProtection="1">
      <alignment horizontal="center"/>
      <protection locked="0"/>
    </xf>
    <xf numFmtId="0" fontId="16" fillId="2" borderId="0" xfId="0" applyFont="1" applyFill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locked="0"/>
    </xf>
    <xf numFmtId="165" fontId="20" fillId="0" borderId="0" xfId="0" applyNumberFormat="1" applyFont="1" applyAlignment="1">
      <alignment horizontal="center" vertical="center"/>
    </xf>
    <xf numFmtId="1" fontId="4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1" fillId="2" borderId="0" xfId="0" applyFont="1" applyFill="1"/>
    <xf numFmtId="0" fontId="16" fillId="2" borderId="0" xfId="0" applyFont="1" applyFill="1" applyAlignment="1">
      <alignment horizontal="center"/>
    </xf>
    <xf numFmtId="9" fontId="13" fillId="0" borderId="0" xfId="0" applyNumberFormat="1" applyFont="1"/>
    <xf numFmtId="9" fontId="47" fillId="0" borderId="0" xfId="0" applyNumberFormat="1" applyFont="1"/>
    <xf numFmtId="0" fontId="49" fillId="0" borderId="0" xfId="0" applyFont="1" applyAlignment="1">
      <alignment vertical="center"/>
    </xf>
    <xf numFmtId="0" fontId="50" fillId="0" borderId="0" xfId="0" applyFont="1"/>
    <xf numFmtId="0" fontId="51" fillId="0" borderId="0" xfId="5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3" fillId="0" borderId="0" xfId="0" applyFont="1"/>
    <xf numFmtId="0" fontId="53" fillId="0" borderId="0" xfId="0" applyFont="1" applyAlignment="1">
      <alignment horizontal="center" vertical="center"/>
    </xf>
    <xf numFmtId="0" fontId="53" fillId="0" borderId="0" xfId="0" applyFont="1" applyAlignment="1">
      <alignment vertical="center"/>
    </xf>
    <xf numFmtId="0" fontId="53" fillId="2" borderId="0" xfId="0" applyFont="1" applyFill="1" applyAlignment="1">
      <alignment vertical="center"/>
    </xf>
    <xf numFmtId="165" fontId="17" fillId="2" borderId="0" xfId="0" applyNumberFormat="1" applyFont="1" applyFill="1" applyAlignment="1">
      <alignment horizontal="right" vertical="center"/>
    </xf>
    <xf numFmtId="0" fontId="60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0" fontId="53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/>
    <xf numFmtId="0" fontId="15" fillId="0" borderId="0" xfId="0" applyFont="1" applyAlignment="1">
      <alignment horizontal="left" vertical="center"/>
    </xf>
    <xf numFmtId="165" fontId="15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5" fontId="54" fillId="2" borderId="0" xfId="0" applyNumberFormat="1" applyFont="1" applyFill="1" applyAlignment="1">
      <alignment horizontal="center" vertical="center"/>
    </xf>
    <xf numFmtId="0" fontId="51" fillId="0" borderId="0" xfId="5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18" fillId="2" borderId="0" xfId="0" applyFont="1" applyFill="1" applyAlignment="1">
      <alignment horizontal="left" vertical="center" wrapText="1"/>
    </xf>
    <xf numFmtId="0" fontId="29" fillId="2" borderId="0" xfId="0" applyFont="1" applyFill="1" applyAlignment="1">
      <alignment horizontal="center" vertical="center"/>
    </xf>
    <xf numFmtId="0" fontId="66" fillId="0" borderId="0" xfId="5" applyFont="1" applyBorder="1" applyAlignment="1">
      <alignment vertical="center"/>
    </xf>
    <xf numFmtId="0" fontId="6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7" fillId="2" borderId="0" xfId="5" applyFont="1" applyFill="1" applyBorder="1" applyAlignment="1">
      <alignment horizontal="center" vertical="center"/>
    </xf>
    <xf numFmtId="0" fontId="20" fillId="2" borderId="0" xfId="0" applyFont="1" applyFill="1" applyAlignment="1">
      <alignment horizontal="left" vertical="center"/>
    </xf>
    <xf numFmtId="1" fontId="16" fillId="2" borderId="0" xfId="0" applyNumberFormat="1" applyFont="1" applyFill="1" applyAlignment="1">
      <alignment horizontal="center" vertical="center"/>
    </xf>
    <xf numFmtId="0" fontId="30" fillId="0" borderId="0" xfId="0" applyFont="1"/>
    <xf numFmtId="0" fontId="43" fillId="0" borderId="0" xfId="0" applyFont="1" applyAlignment="1">
      <alignment horizontal="center"/>
    </xf>
    <xf numFmtId="164" fontId="39" fillId="2" borderId="0" xfId="0" applyNumberFormat="1" applyFont="1" applyFill="1" applyAlignment="1">
      <alignment horizontal="center" vertical="center"/>
    </xf>
    <xf numFmtId="9" fontId="55" fillId="2" borderId="0" xfId="0" applyNumberFormat="1" applyFont="1" applyFill="1" applyAlignment="1">
      <alignment horizontal="center" vertical="center"/>
    </xf>
    <xf numFmtId="0" fontId="23" fillId="2" borderId="0" xfId="5" applyFont="1" applyFill="1" applyBorder="1" applyAlignment="1">
      <alignment vertical="center"/>
    </xf>
    <xf numFmtId="9" fontId="70" fillId="2" borderId="0" xfId="0" applyNumberFormat="1" applyFont="1" applyFill="1" applyAlignment="1">
      <alignment horizontal="center" vertical="center"/>
    </xf>
    <xf numFmtId="2" fontId="69" fillId="2" borderId="0" xfId="0" applyNumberFormat="1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59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vertical="center"/>
    </xf>
    <xf numFmtId="1" fontId="5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68" fillId="2" borderId="0" xfId="0" applyFont="1" applyFill="1" applyAlignment="1">
      <alignment horizontal="center" vertical="center" wrapText="1"/>
    </xf>
    <xf numFmtId="9" fontId="68" fillId="2" borderId="0" xfId="0" applyNumberFormat="1" applyFont="1" applyFill="1" applyAlignment="1">
      <alignment horizontal="center" vertical="center"/>
    </xf>
    <xf numFmtId="0" fontId="63" fillId="2" borderId="0" xfId="0" applyFont="1" applyFill="1" applyAlignment="1">
      <alignment horizontal="center" vertical="center"/>
    </xf>
    <xf numFmtId="9" fontId="66" fillId="2" borderId="0" xfId="0" applyNumberFormat="1" applyFont="1" applyFill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2" borderId="0" xfId="0" applyFont="1" applyFill="1" applyAlignment="1">
      <alignment horizontal="center" vertical="center"/>
    </xf>
    <xf numFmtId="0" fontId="44" fillId="0" borderId="0" xfId="0" applyFont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vertical="center"/>
    </xf>
    <xf numFmtId="0" fontId="43" fillId="0" borderId="0" xfId="0" applyFont="1" applyAlignment="1">
      <alignment vertical="center" wrapText="1" shrinkToFit="1"/>
    </xf>
    <xf numFmtId="0" fontId="31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48" fillId="2" borderId="0" xfId="0" applyFont="1" applyFill="1" applyAlignment="1">
      <alignment vertical="center"/>
    </xf>
    <xf numFmtId="0" fontId="16" fillId="2" borderId="0" xfId="0" applyFont="1" applyFill="1" applyAlignment="1" applyProtection="1">
      <alignment horizontal="center" vertical="center"/>
      <protection locked="0"/>
    </xf>
    <xf numFmtId="165" fontId="16" fillId="2" borderId="0" xfId="0" applyNumberFormat="1" applyFont="1" applyFill="1" applyAlignment="1" applyProtection="1">
      <alignment horizontal="center" vertical="center"/>
      <protection locked="0"/>
    </xf>
    <xf numFmtId="0" fontId="41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62" fillId="2" borderId="0" xfId="0" applyFont="1" applyFill="1" applyAlignment="1">
      <alignment horizontal="center" vertical="center"/>
    </xf>
    <xf numFmtId="0" fontId="16" fillId="2" borderId="0" xfId="0" applyFont="1" applyFill="1" applyAlignment="1" applyProtection="1">
      <alignment horizontal="left" vertical="center"/>
      <protection locked="0"/>
    </xf>
    <xf numFmtId="165" fontId="52" fillId="2" borderId="0" xfId="0" applyNumberFormat="1" applyFont="1" applyFill="1" applyAlignment="1">
      <alignment horizontal="center" vertical="center"/>
    </xf>
    <xf numFmtId="164" fontId="52" fillId="2" borderId="0" xfId="0" applyNumberFormat="1" applyFont="1" applyFill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7" fillId="0" borderId="0" xfId="5" applyFont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58" fillId="2" borderId="0" xfId="0" applyFont="1" applyFill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66" fillId="2" borderId="0" xfId="0" applyFont="1" applyFill="1" applyAlignment="1">
      <alignment horizontal="left" vertical="center" wrapText="1"/>
    </xf>
    <xf numFmtId="0" fontId="43" fillId="2" borderId="0" xfId="0" applyFont="1" applyFill="1" applyAlignment="1">
      <alignment horizontal="center" vertical="center"/>
    </xf>
    <xf numFmtId="165" fontId="15" fillId="2" borderId="0" xfId="5" applyNumberFormat="1" applyFont="1" applyFill="1" applyBorder="1" applyAlignment="1">
      <alignment horizontal="center" vertical="center" wrapText="1"/>
    </xf>
    <xf numFmtId="0" fontId="58" fillId="2" borderId="19" xfId="0" applyFont="1" applyFill="1" applyBorder="1" applyAlignment="1">
      <alignment horizontal="center" vertical="center"/>
    </xf>
    <xf numFmtId="9" fontId="17" fillId="2" borderId="0" xfId="0" applyNumberFormat="1" applyFont="1" applyFill="1" applyAlignment="1">
      <alignment horizontal="center" vertical="center"/>
    </xf>
    <xf numFmtId="9" fontId="75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9" fontId="16" fillId="2" borderId="0" xfId="0" applyNumberFormat="1" applyFont="1" applyFill="1" applyAlignment="1">
      <alignment horizontal="center" vertical="center"/>
    </xf>
    <xf numFmtId="0" fontId="69" fillId="0" borderId="0" xfId="0" applyFont="1"/>
    <xf numFmtId="9" fontId="21" fillId="2" borderId="0" xfId="0" applyNumberFormat="1" applyFont="1" applyFill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4" fillId="2" borderId="0" xfId="0" applyFont="1" applyFill="1" applyAlignment="1">
      <alignment horizontal="center"/>
    </xf>
    <xf numFmtId="0" fontId="13" fillId="0" borderId="0" xfId="0" applyFont="1"/>
    <xf numFmtId="0" fontId="16" fillId="2" borderId="1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5" fillId="5" borderId="36" xfId="0" applyFont="1" applyFill="1" applyBorder="1"/>
    <xf numFmtId="0" fontId="15" fillId="5" borderId="0" xfId="0" applyFont="1" applyFill="1" applyAlignment="1">
      <alignment horizontal="center"/>
    </xf>
    <xf numFmtId="0" fontId="15" fillId="5" borderId="0" xfId="0" applyFont="1" applyFill="1"/>
    <xf numFmtId="0" fontId="15" fillId="5" borderId="10" xfId="0" applyFont="1" applyFill="1" applyBorder="1"/>
    <xf numFmtId="0" fontId="15" fillId="5" borderId="11" xfId="0" applyFont="1" applyFill="1" applyBorder="1"/>
    <xf numFmtId="0" fontId="15" fillId="5" borderId="13" xfId="0" applyFont="1" applyFill="1" applyBorder="1"/>
    <xf numFmtId="0" fontId="15" fillId="5" borderId="15" xfId="0" applyFont="1" applyFill="1" applyBorder="1"/>
    <xf numFmtId="0" fontId="15" fillId="5" borderId="14" xfId="0" applyFont="1" applyFill="1" applyBorder="1" applyAlignment="1">
      <alignment horizontal="center"/>
    </xf>
    <xf numFmtId="0" fontId="15" fillId="5" borderId="14" xfId="0" applyFont="1" applyFill="1" applyBorder="1"/>
    <xf numFmtId="0" fontId="47" fillId="5" borderId="0" xfId="0" applyFont="1" applyFill="1"/>
    <xf numFmtId="0" fontId="18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5" fillId="2" borderId="43" xfId="0" applyFont="1" applyFill="1" applyBorder="1"/>
    <xf numFmtId="0" fontId="29" fillId="5" borderId="0" xfId="0" applyFont="1" applyFill="1" applyAlignment="1">
      <alignment vertical="center"/>
    </xf>
    <xf numFmtId="0" fontId="47" fillId="5" borderId="0" xfId="0" applyFont="1" applyFill="1" applyAlignment="1">
      <alignment vertical="center"/>
    </xf>
    <xf numFmtId="0" fontId="16" fillId="0" borderId="0" xfId="0" applyFont="1" applyAlignment="1">
      <alignment horizontal="left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0" fontId="51" fillId="2" borderId="0" xfId="5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39" fillId="2" borderId="0" xfId="5" applyFont="1" applyFill="1" applyBorder="1" applyAlignment="1">
      <alignment vertical="center" wrapText="1"/>
    </xf>
    <xf numFmtId="0" fontId="66" fillId="2" borderId="0" xfId="5" applyFont="1" applyFill="1" applyBorder="1" applyAlignment="1">
      <alignment vertical="center"/>
    </xf>
    <xf numFmtId="0" fontId="51" fillId="2" borderId="0" xfId="5" applyFont="1" applyFill="1" applyBorder="1" applyAlignment="1">
      <alignment vertical="center"/>
    </xf>
    <xf numFmtId="0" fontId="49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horizontal="center"/>
    </xf>
    <xf numFmtId="0" fontId="43" fillId="2" borderId="0" xfId="0" applyFont="1" applyFill="1" applyAlignment="1">
      <alignment horizontal="center"/>
    </xf>
    <xf numFmtId="0" fontId="51" fillId="2" borderId="0" xfId="5" applyFont="1" applyFill="1" applyBorder="1" applyAlignment="1">
      <alignment horizontal="center" vertical="center"/>
    </xf>
    <xf numFmtId="0" fontId="77" fillId="2" borderId="23" xfId="0" applyFont="1" applyFill="1" applyBorder="1" applyAlignment="1" applyProtection="1">
      <alignment horizontal="center" vertical="center"/>
      <protection locked="0"/>
    </xf>
    <xf numFmtId="0" fontId="78" fillId="2" borderId="24" xfId="0" applyFont="1" applyFill="1" applyBorder="1" applyAlignment="1" applyProtection="1">
      <alignment horizontal="center" vertical="center"/>
      <protection locked="0"/>
    </xf>
    <xf numFmtId="0" fontId="77" fillId="2" borderId="20" xfId="0" applyFont="1" applyFill="1" applyBorder="1" applyAlignment="1" applyProtection="1">
      <alignment horizontal="center" vertical="center"/>
      <protection locked="0"/>
    </xf>
    <xf numFmtId="0" fontId="78" fillId="2" borderId="21" xfId="0" applyFont="1" applyFill="1" applyBorder="1" applyAlignment="1" applyProtection="1">
      <alignment horizontal="center" vertical="center"/>
      <protection locked="0"/>
    </xf>
    <xf numFmtId="0" fontId="80" fillId="2" borderId="0" xfId="0" applyFont="1" applyFill="1"/>
    <xf numFmtId="0" fontId="29" fillId="5" borderId="0" xfId="5" applyFont="1" applyFill="1" applyBorder="1" applyAlignment="1">
      <alignment vertical="center" wrapText="1"/>
    </xf>
    <xf numFmtId="0" fontId="66" fillId="2" borderId="48" xfId="0" applyFont="1" applyFill="1" applyBorder="1" applyAlignment="1">
      <alignment horizontal="left" vertical="center" wrapText="1"/>
    </xf>
    <xf numFmtId="0" fontId="66" fillId="2" borderId="56" xfId="0" applyFont="1" applyFill="1" applyBorder="1" applyAlignment="1">
      <alignment horizontal="left" vertical="center" wrapText="1"/>
    </xf>
    <xf numFmtId="0" fontId="63" fillId="2" borderId="57" xfId="0" applyFont="1" applyFill="1" applyBorder="1" applyAlignment="1">
      <alignment horizontal="center" vertical="center"/>
    </xf>
    <xf numFmtId="0" fontId="75" fillId="2" borderId="0" xfId="0" applyFont="1" applyFill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7" fillId="5" borderId="27" xfId="0" applyFont="1" applyFill="1" applyBorder="1" applyAlignment="1">
      <alignment horizontal="center" vertical="center"/>
    </xf>
    <xf numFmtId="0" fontId="9" fillId="2" borderId="0" xfId="0" applyFont="1" applyFill="1"/>
    <xf numFmtId="0" fontId="6" fillId="2" borderId="0" xfId="0" applyFont="1" applyFill="1"/>
    <xf numFmtId="0" fontId="29" fillId="2" borderId="59" xfId="0" applyFont="1" applyFill="1" applyBorder="1" applyAlignment="1">
      <alignment horizontal="center" vertical="center"/>
    </xf>
    <xf numFmtId="0" fontId="0" fillId="0" borderId="59" xfId="0" applyBorder="1"/>
    <xf numFmtId="0" fontId="47" fillId="5" borderId="50" xfId="0" applyFont="1" applyFill="1" applyBorder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42" fillId="2" borderId="0" xfId="0" applyFont="1" applyFill="1"/>
    <xf numFmtId="0" fontId="39" fillId="0" borderId="60" xfId="5" applyFont="1" applyBorder="1" applyAlignment="1">
      <alignment horizontal="center" vertical="center"/>
    </xf>
    <xf numFmtId="0" fontId="29" fillId="5" borderId="0" xfId="0" applyFont="1" applyFill="1" applyAlignment="1">
      <alignment vertical="top"/>
    </xf>
    <xf numFmtId="0" fontId="29" fillId="5" borderId="0" xfId="0" applyFont="1" applyFill="1" applyAlignment="1">
      <alignment horizontal="center" vertical="top"/>
    </xf>
    <xf numFmtId="165" fontId="16" fillId="2" borderId="0" xfId="0" applyNumberFormat="1" applyFont="1" applyFill="1" applyAlignment="1">
      <alignment horizontal="right" vertical="center"/>
    </xf>
    <xf numFmtId="165" fontId="16" fillId="2" borderId="0" xfId="0" applyNumberFormat="1" applyFont="1" applyFill="1" applyAlignment="1">
      <alignment horizontal="left" vertical="center"/>
    </xf>
    <xf numFmtId="0" fontId="47" fillId="5" borderId="49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49" fontId="20" fillId="2" borderId="41" xfId="0" applyNumberFormat="1" applyFont="1" applyFill="1" applyBorder="1" applyAlignment="1">
      <alignment horizontal="center" vertical="center"/>
    </xf>
    <xf numFmtId="0" fontId="10" fillId="2" borderId="0" xfId="6" applyFill="1"/>
    <xf numFmtId="0" fontId="16" fillId="0" borderId="0" xfId="0" applyFont="1" applyAlignment="1">
      <alignment horizontal="right" vertical="center"/>
    </xf>
    <xf numFmtId="0" fontId="66" fillId="2" borderId="53" xfId="0" applyFont="1" applyFill="1" applyBorder="1" applyAlignment="1">
      <alignment horizontal="left" vertical="center" wrapText="1"/>
    </xf>
    <xf numFmtId="0" fontId="87" fillId="2" borderId="0" xfId="5" applyFont="1" applyFill="1" applyBorder="1" applyAlignment="1">
      <alignment horizontal="center" vertical="center" wrapText="1"/>
    </xf>
    <xf numFmtId="0" fontId="21" fillId="2" borderId="65" xfId="0" applyFont="1" applyFill="1" applyBorder="1" applyAlignment="1">
      <alignment horizontal="left" vertical="center"/>
    </xf>
    <xf numFmtId="165" fontId="79" fillId="3" borderId="66" xfId="0" applyNumberFormat="1" applyFont="1" applyFill="1" applyBorder="1" applyAlignment="1">
      <alignment horizontal="center" vertical="center"/>
    </xf>
    <xf numFmtId="0" fontId="88" fillId="0" borderId="0" xfId="0" applyFont="1" applyAlignment="1">
      <alignment horizontal="center" vertical="top"/>
    </xf>
    <xf numFmtId="0" fontId="2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64" fillId="0" borderId="0" xfId="0" applyFont="1" applyAlignment="1">
      <alignment horizontal="center"/>
    </xf>
    <xf numFmtId="0" fontId="90" fillId="0" borderId="0" xfId="0" applyFont="1" applyAlignment="1">
      <alignment horizont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14" fontId="39" fillId="0" borderId="0" xfId="5" applyNumberFormat="1" applyFont="1" applyBorder="1" applyAlignment="1">
      <alignment horizontal="center" vertical="center"/>
    </xf>
    <xf numFmtId="14" fontId="39" fillId="0" borderId="68" xfId="5" applyNumberFormat="1" applyFont="1" applyBorder="1" applyAlignment="1">
      <alignment horizontal="center" vertical="center"/>
    </xf>
    <xf numFmtId="165" fontId="66" fillId="3" borderId="69" xfId="0" applyNumberFormat="1" applyFont="1" applyFill="1" applyBorder="1" applyAlignment="1">
      <alignment horizontal="center" vertical="center"/>
    </xf>
    <xf numFmtId="165" fontId="15" fillId="2" borderId="4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76" fillId="2" borderId="0" xfId="0" applyFont="1" applyFill="1" applyAlignment="1">
      <alignment horizontal="left" vertical="center"/>
    </xf>
    <xf numFmtId="0" fontId="43" fillId="2" borderId="0" xfId="0" applyFont="1" applyFill="1" applyAlignment="1">
      <alignment horizontal="left" vertical="center"/>
    </xf>
    <xf numFmtId="0" fontId="72" fillId="2" borderId="0" xfId="0" applyFont="1" applyFill="1"/>
    <xf numFmtId="0" fontId="57" fillId="2" borderId="0" xfId="0" applyFont="1" applyFill="1" applyAlignment="1">
      <alignment horizontal="center" vertical="center"/>
    </xf>
    <xf numFmtId="1" fontId="45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top" wrapText="1"/>
    </xf>
    <xf numFmtId="0" fontId="18" fillId="2" borderId="0" xfId="0" applyFont="1" applyFill="1"/>
    <xf numFmtId="1" fontId="32" fillId="2" borderId="0" xfId="0" applyNumberFormat="1" applyFont="1" applyFill="1" applyAlignment="1">
      <alignment horizontal="center"/>
    </xf>
    <xf numFmtId="0" fontId="15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0" fontId="44" fillId="2" borderId="0" xfId="0" applyFont="1" applyFill="1" applyAlignment="1">
      <alignment vertical="center"/>
    </xf>
    <xf numFmtId="0" fontId="44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43" fillId="2" borderId="0" xfId="0" applyFont="1" applyFill="1" applyAlignment="1">
      <alignment vertical="center"/>
    </xf>
    <xf numFmtId="0" fontId="33" fillId="2" borderId="0" xfId="0" applyFont="1" applyFill="1"/>
    <xf numFmtId="0" fontId="36" fillId="2" borderId="0" xfId="0" applyFont="1" applyFill="1" applyAlignment="1">
      <alignment horizontal="center" vertical="center"/>
    </xf>
    <xf numFmtId="0" fontId="25" fillId="2" borderId="0" xfId="0" applyFont="1" applyFill="1"/>
    <xf numFmtId="1" fontId="1" fillId="2" borderId="0" xfId="0" applyNumberFormat="1" applyFont="1" applyFill="1" applyAlignment="1" applyProtection="1">
      <alignment horizontal="center"/>
      <protection locked="0"/>
    </xf>
    <xf numFmtId="0" fontId="36" fillId="2" borderId="0" xfId="0" applyFont="1" applyFill="1"/>
    <xf numFmtId="9" fontId="25" fillId="2" borderId="0" xfId="0" applyNumberFormat="1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164" fontId="25" fillId="2" borderId="0" xfId="0" applyNumberFormat="1" applyFont="1" applyFill="1" applyAlignment="1">
      <alignment horizontal="center" vertical="center"/>
    </xf>
    <xf numFmtId="165" fontId="20" fillId="2" borderId="0" xfId="0" applyNumberFormat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left" vertical="center"/>
    </xf>
    <xf numFmtId="0" fontId="34" fillId="2" borderId="0" xfId="0" applyFont="1" applyFill="1"/>
    <xf numFmtId="0" fontId="26" fillId="2" borderId="0" xfId="0" applyFont="1" applyFill="1"/>
    <xf numFmtId="0" fontId="35" fillId="2" borderId="0" xfId="0" applyFont="1" applyFill="1" applyAlignment="1">
      <alignment vertical="center" wrapText="1"/>
    </xf>
    <xf numFmtId="0" fontId="88" fillId="0" borderId="0" xfId="0" applyFont="1" applyAlignment="1">
      <alignment horizontal="left" vertical="top"/>
    </xf>
    <xf numFmtId="0" fontId="16" fillId="0" borderId="70" xfId="0" applyFont="1" applyBorder="1" applyAlignment="1">
      <alignment horizontal="center" vertical="center"/>
    </xf>
    <xf numFmtId="165" fontId="66" fillId="3" borderId="71" xfId="0" applyNumberFormat="1" applyFont="1" applyFill="1" applyBorder="1" applyAlignment="1">
      <alignment horizontal="center" vertical="center"/>
    </xf>
    <xf numFmtId="0" fontId="53" fillId="0" borderId="72" xfId="0" applyFont="1" applyBorder="1" applyAlignment="1">
      <alignment horizontal="center" vertical="center"/>
    </xf>
    <xf numFmtId="0" fontId="90" fillId="0" borderId="72" xfId="0" applyFont="1" applyBorder="1" applyAlignment="1">
      <alignment horizontal="center" vertical="center"/>
    </xf>
    <xf numFmtId="0" fontId="64" fillId="0" borderId="72" xfId="0" applyFont="1" applyBorder="1" applyAlignment="1">
      <alignment horizontal="center" vertical="center"/>
    </xf>
    <xf numFmtId="0" fontId="39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49" fontId="15" fillId="6" borderId="33" xfId="0" applyNumberFormat="1" applyFont="1" applyFill="1" applyBorder="1" applyAlignment="1">
      <alignment horizontal="center" vertical="center"/>
    </xf>
    <xf numFmtId="49" fontId="15" fillId="7" borderId="35" xfId="0" applyNumberFormat="1" applyFont="1" applyFill="1" applyBorder="1" applyAlignment="1">
      <alignment horizontal="center" vertical="center"/>
    </xf>
    <xf numFmtId="49" fontId="15" fillId="8" borderId="0" xfId="0" applyNumberFormat="1" applyFont="1" applyFill="1" applyAlignment="1">
      <alignment horizontal="center" vertical="center"/>
    </xf>
    <xf numFmtId="0" fontId="21" fillId="2" borderId="29" xfId="0" applyFont="1" applyFill="1" applyBorder="1" applyAlignment="1">
      <alignment horizontal="left" vertical="center"/>
    </xf>
    <xf numFmtId="0" fontId="20" fillId="6" borderId="28" xfId="0" applyFont="1" applyFill="1" applyBorder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0" fontId="21" fillId="9" borderId="0" xfId="0" applyFont="1" applyFill="1" applyAlignment="1">
      <alignment horizontal="center" vertical="center"/>
    </xf>
    <xf numFmtId="0" fontId="95" fillId="0" borderId="0" xfId="0" applyFont="1"/>
    <xf numFmtId="0" fontId="66" fillId="2" borderId="0" xfId="0" applyFont="1" applyFill="1" applyAlignment="1">
      <alignment horizontal="right" vertical="center" wrapText="1"/>
    </xf>
    <xf numFmtId="2" fontId="66" fillId="2" borderId="42" xfId="0" applyNumberFormat="1" applyFont="1" applyFill="1" applyBorder="1" applyAlignment="1">
      <alignment horizontal="center" vertical="center" wrapText="1"/>
    </xf>
    <xf numFmtId="10" fontId="17" fillId="2" borderId="0" xfId="0" applyNumberFormat="1" applyFont="1" applyFill="1" applyAlignment="1">
      <alignment horizontal="center" vertical="center"/>
    </xf>
    <xf numFmtId="2" fontId="17" fillId="2" borderId="0" xfId="0" applyNumberFormat="1" applyFont="1" applyFill="1" applyAlignment="1">
      <alignment horizontal="center" vertical="center"/>
    </xf>
    <xf numFmtId="0" fontId="66" fillId="0" borderId="0" xfId="0" applyFont="1"/>
    <xf numFmtId="165" fontId="17" fillId="2" borderId="0" xfId="0" applyNumberFormat="1" applyFont="1" applyFill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51" fillId="2" borderId="0" xfId="0" applyFont="1" applyFill="1" applyAlignment="1">
      <alignment horizontal="center" vertical="top"/>
    </xf>
    <xf numFmtId="0" fontId="0" fillId="2" borderId="0" xfId="0" applyFill="1" applyAlignment="1">
      <alignment horizontal="left" vertical="center"/>
    </xf>
    <xf numFmtId="0" fontId="17" fillId="0" borderId="2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97" fillId="0" borderId="0" xfId="0" applyFont="1" applyAlignment="1">
      <alignment vertical="center"/>
    </xf>
    <xf numFmtId="0" fontId="51" fillId="0" borderId="0" xfId="0" applyFont="1" applyAlignment="1">
      <alignment horizontal="center" vertical="top"/>
    </xf>
    <xf numFmtId="1" fontId="96" fillId="0" borderId="60" xfId="6" applyNumberFormat="1" applyFont="1" applyBorder="1" applyAlignment="1">
      <alignment horizontal="center" vertical="center"/>
    </xf>
    <xf numFmtId="0" fontId="61" fillId="2" borderId="0" xfId="6" applyFont="1" applyFill="1" applyBorder="1" applyAlignment="1">
      <alignment horizontal="center" vertical="center"/>
    </xf>
    <xf numFmtId="0" fontId="99" fillId="3" borderId="37" xfId="0" applyFont="1" applyFill="1" applyBorder="1" applyAlignment="1">
      <alignment horizontal="center" vertical="center"/>
    </xf>
    <xf numFmtId="0" fontId="99" fillId="3" borderId="38" xfId="0" applyFont="1" applyFill="1" applyBorder="1" applyAlignment="1">
      <alignment horizontal="center" vertical="center"/>
    </xf>
    <xf numFmtId="0" fontId="39" fillId="0" borderId="0" xfId="5" applyFont="1" applyBorder="1" applyAlignment="1">
      <alignment horizontal="center" vertical="center"/>
    </xf>
    <xf numFmtId="1" fontId="21" fillId="0" borderId="0" xfId="5" applyNumberFormat="1" applyFont="1" applyBorder="1" applyAlignment="1">
      <alignment horizontal="center" vertical="center"/>
    </xf>
    <xf numFmtId="0" fontId="39" fillId="2" borderId="41" xfId="0" applyFont="1" applyFill="1" applyBorder="1" applyAlignment="1">
      <alignment horizontal="center" vertical="center"/>
    </xf>
    <xf numFmtId="0" fontId="101" fillId="2" borderId="0" xfId="0" applyFont="1" applyFill="1" applyAlignment="1">
      <alignment horizontal="left" vertical="center"/>
    </xf>
    <xf numFmtId="0" fontId="79" fillId="2" borderId="29" xfId="0" applyFont="1" applyFill="1" applyBorder="1" applyAlignment="1">
      <alignment horizontal="center" vertical="center"/>
    </xf>
    <xf numFmtId="14" fontId="79" fillId="2" borderId="29" xfId="0" applyNumberFormat="1" applyFont="1" applyFill="1" applyBorder="1" applyAlignment="1">
      <alignment horizontal="center" vertical="center"/>
    </xf>
    <xf numFmtId="1" fontId="79" fillId="2" borderId="29" xfId="0" applyNumberFormat="1" applyFont="1" applyFill="1" applyBorder="1" applyAlignment="1">
      <alignment horizontal="center" vertical="center"/>
    </xf>
    <xf numFmtId="0" fontId="98" fillId="0" borderId="0" xfId="0" applyFont="1" applyAlignment="1">
      <alignment vertical="center"/>
    </xf>
    <xf numFmtId="0" fontId="105" fillId="10" borderId="33" xfId="0" applyFont="1" applyFill="1" applyBorder="1" applyAlignment="1">
      <alignment horizontal="center" vertical="center"/>
    </xf>
    <xf numFmtId="164" fontId="106" fillId="2" borderId="44" xfId="0" applyNumberFormat="1" applyFont="1" applyFill="1" applyBorder="1" applyAlignment="1">
      <alignment horizontal="center" vertical="center"/>
    </xf>
    <xf numFmtId="1" fontId="106" fillId="2" borderId="81" xfId="0" applyNumberFormat="1" applyFont="1" applyFill="1" applyBorder="1" applyAlignment="1">
      <alignment horizontal="center" vertical="center"/>
    </xf>
    <xf numFmtId="1" fontId="106" fillId="2" borderId="33" xfId="0" applyNumberFormat="1" applyFont="1" applyFill="1" applyBorder="1" applyAlignment="1">
      <alignment horizontal="center" vertical="center"/>
    </xf>
    <xf numFmtId="0" fontId="105" fillId="10" borderId="34" xfId="0" applyFont="1" applyFill="1" applyBorder="1" applyAlignment="1">
      <alignment horizontal="center" vertical="center"/>
    </xf>
    <xf numFmtId="164" fontId="106" fillId="2" borderId="43" xfId="0" applyNumberFormat="1" applyFont="1" applyFill="1" applyBorder="1" applyAlignment="1">
      <alignment horizontal="center" vertical="center"/>
    </xf>
    <xf numFmtId="1" fontId="106" fillId="2" borderId="82" xfId="0" applyNumberFormat="1" applyFont="1" applyFill="1" applyBorder="1" applyAlignment="1">
      <alignment horizontal="center" vertical="center"/>
    </xf>
    <xf numFmtId="0" fontId="39" fillId="0" borderId="7" xfId="0" applyFont="1" applyBorder="1" applyAlignment="1">
      <alignment horizontal="left" vertical="center"/>
    </xf>
    <xf numFmtId="165" fontId="39" fillId="0" borderId="8" xfId="0" applyNumberFormat="1" applyFont="1" applyBorder="1" applyAlignment="1">
      <alignment horizontal="center" vertical="center"/>
    </xf>
    <xf numFmtId="164" fontId="39" fillId="2" borderId="8" xfId="0" applyNumberFormat="1" applyFont="1" applyFill="1" applyBorder="1" applyAlignment="1">
      <alignment horizontal="center" vertical="center"/>
    </xf>
    <xf numFmtId="1" fontId="39" fillId="2" borderId="8" xfId="0" applyNumberFormat="1" applyFont="1" applyFill="1" applyBorder="1" applyAlignment="1">
      <alignment horizontal="center" vertical="center"/>
    </xf>
    <xf numFmtId="1" fontId="39" fillId="2" borderId="9" xfId="0" applyNumberFormat="1" applyFont="1" applyFill="1" applyBorder="1" applyAlignment="1">
      <alignment horizontal="center" vertical="center"/>
    </xf>
    <xf numFmtId="0" fontId="21" fillId="2" borderId="85" xfId="0" applyFont="1" applyFill="1" applyBorder="1" applyAlignment="1">
      <alignment horizontal="center" vertical="center"/>
    </xf>
    <xf numFmtId="0" fontId="16" fillId="2" borderId="85" xfId="0" applyFont="1" applyFill="1" applyBorder="1" applyAlignment="1" applyProtection="1">
      <alignment horizontal="center" vertical="center"/>
      <protection locked="0"/>
    </xf>
    <xf numFmtId="2" fontId="16" fillId="2" borderId="85" xfId="0" applyNumberFormat="1" applyFont="1" applyFill="1" applyBorder="1" applyAlignment="1" applyProtection="1">
      <alignment horizontal="center" vertical="center"/>
      <protection locked="0"/>
    </xf>
    <xf numFmtId="165" fontId="16" fillId="2" borderId="85" xfId="0" applyNumberFormat="1" applyFont="1" applyFill="1" applyBorder="1" applyAlignment="1">
      <alignment horizontal="center" vertical="center"/>
    </xf>
    <xf numFmtId="165" fontId="16" fillId="2" borderId="85" xfId="0" applyNumberFormat="1" applyFont="1" applyFill="1" applyBorder="1" applyAlignment="1" applyProtection="1">
      <alignment horizontal="center" vertical="center"/>
      <protection locked="0"/>
    </xf>
    <xf numFmtId="0" fontId="17" fillId="2" borderId="0" xfId="5" applyFont="1" applyFill="1" applyBorder="1" applyAlignment="1">
      <alignment horizontal="left" vertical="center" wrapText="1"/>
    </xf>
    <xf numFmtId="165" fontId="17" fillId="2" borderId="41" xfId="0" applyNumberFormat="1" applyFont="1" applyFill="1" applyBorder="1" applyAlignment="1">
      <alignment horizontal="center" vertical="center"/>
    </xf>
    <xf numFmtId="0" fontId="70" fillId="10" borderId="43" xfId="0" applyFont="1" applyFill="1" applyBorder="1" applyAlignment="1">
      <alignment horizontal="left" vertical="center"/>
    </xf>
    <xf numFmtId="49" fontId="20" fillId="2" borderId="25" xfId="0" applyNumberFormat="1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 wrapText="1"/>
    </xf>
    <xf numFmtId="0" fontId="37" fillId="5" borderId="0" xfId="0" applyFont="1" applyFill="1" applyAlignment="1">
      <alignment horizontal="left" vertical="center"/>
    </xf>
    <xf numFmtId="0" fontId="95" fillId="0" borderId="0" xfId="0" applyFont="1" applyAlignment="1">
      <alignment vertical="center"/>
    </xf>
    <xf numFmtId="0" fontId="96" fillId="0" borderId="86" xfId="0" applyFont="1" applyBorder="1" applyAlignment="1">
      <alignment horizontal="center"/>
    </xf>
    <xf numFmtId="0" fontId="0" fillId="0" borderId="0" xfId="0" applyAlignment="1">
      <alignment vertical="center"/>
    </xf>
    <xf numFmtId="0" fontId="37" fillId="2" borderId="0" xfId="0" applyFont="1" applyFill="1" applyAlignment="1">
      <alignment horizontal="left" vertical="center"/>
    </xf>
    <xf numFmtId="0" fontId="30" fillId="0" borderId="0" xfId="0" applyFont="1" applyAlignment="1">
      <alignment vertical="center"/>
    </xf>
    <xf numFmtId="0" fontId="108" fillId="0" borderId="0" xfId="0" applyFont="1" applyAlignment="1">
      <alignment horizontal="center" vertical="center"/>
    </xf>
    <xf numFmtId="0" fontId="109" fillId="12" borderId="0" xfId="6" applyFont="1" applyFill="1" applyAlignment="1">
      <alignment horizontal="center" vertical="center"/>
    </xf>
    <xf numFmtId="0" fontId="109" fillId="11" borderId="0" xfId="6" applyFont="1" applyFill="1" applyAlignment="1">
      <alignment horizontal="center" vertical="center"/>
    </xf>
    <xf numFmtId="0" fontId="17" fillId="2" borderId="55" xfId="5" applyFont="1" applyFill="1" applyBorder="1" applyAlignment="1">
      <alignment horizontal="left" vertical="center" wrapText="1"/>
    </xf>
    <xf numFmtId="0" fontId="18" fillId="2" borderId="0" xfId="6" applyFont="1" applyFill="1" applyBorder="1" applyAlignment="1">
      <alignment horizontal="left" vertical="center" wrapText="1"/>
    </xf>
    <xf numFmtId="0" fontId="91" fillId="0" borderId="97" xfId="0" applyFont="1" applyBorder="1" applyAlignment="1">
      <alignment horizontal="center" vertical="center"/>
    </xf>
    <xf numFmtId="0" fontId="63" fillId="0" borderId="98" xfId="0" applyFont="1" applyBorder="1" applyAlignment="1">
      <alignment horizontal="center" vertical="center"/>
    </xf>
    <xf numFmtId="0" fontId="92" fillId="2" borderId="99" xfId="0" applyFont="1" applyFill="1" applyBorder="1" applyAlignment="1">
      <alignment horizontal="center" vertical="center"/>
    </xf>
    <xf numFmtId="0" fontId="63" fillId="0" borderId="100" xfId="0" applyFont="1" applyBorder="1" applyAlignment="1">
      <alignment horizontal="center" vertical="center"/>
    </xf>
    <xf numFmtId="165" fontId="66" fillId="3" borderId="96" xfId="0" applyNumberFormat="1" applyFont="1" applyFill="1" applyBorder="1" applyAlignment="1">
      <alignment horizontal="center" vertical="center"/>
    </xf>
    <xf numFmtId="0" fontId="91" fillId="0" borderId="101" xfId="0" applyFont="1" applyBorder="1" applyAlignment="1">
      <alignment horizontal="center" vertical="center"/>
    </xf>
    <xf numFmtId="0" fontId="63" fillId="0" borderId="102" xfId="0" applyFont="1" applyBorder="1" applyAlignment="1">
      <alignment horizontal="center" vertical="center"/>
    </xf>
    <xf numFmtId="0" fontId="91" fillId="0" borderId="53" xfId="0" applyFont="1" applyBorder="1" applyAlignment="1">
      <alignment horizontal="center" vertical="center"/>
    </xf>
    <xf numFmtId="0" fontId="63" fillId="0" borderId="83" xfId="0" applyFont="1" applyBorder="1" applyAlignment="1">
      <alignment horizontal="center" vertical="center"/>
    </xf>
    <xf numFmtId="165" fontId="66" fillId="3" borderId="103" xfId="0" applyNumberFormat="1" applyFont="1" applyFill="1" applyBorder="1" applyAlignment="1">
      <alignment horizontal="center" vertical="center"/>
    </xf>
    <xf numFmtId="0" fontId="91" fillId="0" borderId="99" xfId="0" applyFont="1" applyBorder="1" applyAlignment="1">
      <alignment horizontal="center" vertical="center"/>
    </xf>
    <xf numFmtId="164" fontId="17" fillId="3" borderId="71" xfId="0" applyNumberFormat="1" applyFont="1" applyFill="1" applyBorder="1" applyAlignment="1">
      <alignment horizontal="center" vertical="center"/>
    </xf>
    <xf numFmtId="0" fontId="17" fillId="3" borderId="96" xfId="0" applyFont="1" applyFill="1" applyBorder="1" applyAlignment="1">
      <alignment horizontal="center" vertical="center"/>
    </xf>
    <xf numFmtId="0" fontId="17" fillId="3" borderId="69" xfId="0" applyFont="1" applyFill="1" applyBorder="1" applyAlignment="1">
      <alignment horizontal="center" vertical="center"/>
    </xf>
    <xf numFmtId="164" fontId="17" fillId="3" borderId="103" xfId="0" applyNumberFormat="1" applyFont="1" applyFill="1" applyBorder="1" applyAlignment="1">
      <alignment horizontal="center" vertical="center"/>
    </xf>
    <xf numFmtId="0" fontId="16" fillId="0" borderId="104" xfId="0" applyFont="1" applyBorder="1" applyAlignment="1">
      <alignment horizontal="center" vertical="center"/>
    </xf>
    <xf numFmtId="0" fontId="16" fillId="0" borderId="105" xfId="0" applyFont="1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0" fontId="66" fillId="2" borderId="0" xfId="5" applyFont="1" applyFill="1" applyBorder="1" applyAlignment="1">
      <alignment horizontal="left" vertical="center" wrapText="1"/>
    </xf>
    <xf numFmtId="0" fontId="98" fillId="0" borderId="83" xfId="0" applyFont="1" applyBorder="1" applyAlignment="1">
      <alignment horizontal="left" vertical="center"/>
    </xf>
    <xf numFmtId="0" fontId="6" fillId="0" borderId="0" xfId="0" applyFont="1"/>
    <xf numFmtId="0" fontId="112" fillId="0" borderId="0" xfId="0" applyFont="1" applyAlignment="1">
      <alignment vertical="center"/>
    </xf>
    <xf numFmtId="0" fontId="113" fillId="3" borderId="33" xfId="0" applyFont="1" applyFill="1" applyBorder="1" applyAlignment="1">
      <alignment horizontal="center" vertical="center"/>
    </xf>
    <xf numFmtId="0" fontId="113" fillId="3" borderId="58" xfId="0" applyFont="1" applyFill="1" applyBorder="1" applyAlignment="1">
      <alignment horizontal="center" vertical="center"/>
    </xf>
    <xf numFmtId="0" fontId="114" fillId="10" borderId="35" xfId="0" applyFont="1" applyFill="1" applyBorder="1" applyAlignment="1">
      <alignment horizontal="center" vertical="center"/>
    </xf>
    <xf numFmtId="164" fontId="115" fillId="2" borderId="33" xfId="0" applyNumberFormat="1" applyFont="1" applyFill="1" applyBorder="1" applyAlignment="1">
      <alignment horizontal="center" vertical="center"/>
    </xf>
    <xf numFmtId="2" fontId="113" fillId="0" borderId="0" xfId="0" applyNumberFormat="1" applyFont="1" applyAlignment="1">
      <alignment horizontal="center" vertical="center"/>
    </xf>
    <xf numFmtId="0" fontId="113" fillId="3" borderId="35" xfId="0" applyFont="1" applyFill="1" applyBorder="1" applyAlignment="1">
      <alignment horizontal="center" vertical="center"/>
    </xf>
    <xf numFmtId="0" fontId="113" fillId="3" borderId="45" xfId="0" applyFont="1" applyFill="1" applyBorder="1" applyAlignment="1">
      <alignment horizontal="center" vertical="center"/>
    </xf>
    <xf numFmtId="2" fontId="115" fillId="2" borderId="35" xfId="0" applyNumberFormat="1" applyFont="1" applyFill="1" applyBorder="1" applyAlignment="1">
      <alignment horizontal="center" vertical="center"/>
    </xf>
    <xf numFmtId="10" fontId="113" fillId="3" borderId="35" xfId="0" applyNumberFormat="1" applyFont="1" applyFill="1" applyBorder="1" applyAlignment="1">
      <alignment horizontal="center" vertical="center"/>
    </xf>
    <xf numFmtId="165" fontId="114" fillId="10" borderId="35" xfId="0" applyNumberFormat="1" applyFont="1" applyFill="1" applyBorder="1" applyAlignment="1">
      <alignment horizontal="center" vertical="center"/>
    </xf>
    <xf numFmtId="165" fontId="115" fillId="2" borderId="35" xfId="0" applyNumberFormat="1" applyFont="1" applyFill="1" applyBorder="1" applyAlignment="1">
      <alignment horizontal="center" vertical="center"/>
    </xf>
    <xf numFmtId="0" fontId="113" fillId="0" borderId="0" xfId="0" applyFont="1"/>
    <xf numFmtId="0" fontId="115" fillId="0" borderId="0" xfId="0" applyFont="1" applyAlignment="1">
      <alignment vertical="center"/>
    </xf>
    <xf numFmtId="10" fontId="116" fillId="3" borderId="0" xfId="0" applyNumberFormat="1" applyFont="1" applyFill="1" applyAlignment="1">
      <alignment horizontal="center" vertical="center"/>
    </xf>
    <xf numFmtId="0" fontId="116" fillId="3" borderId="19" xfId="0" applyFont="1" applyFill="1" applyBorder="1" applyAlignment="1">
      <alignment horizontal="center" vertical="center"/>
    </xf>
    <xf numFmtId="165" fontId="114" fillId="10" borderId="0" xfId="0" applyNumberFormat="1" applyFont="1" applyFill="1" applyAlignment="1">
      <alignment horizontal="center" vertical="center"/>
    </xf>
    <xf numFmtId="165" fontId="115" fillId="2" borderId="0" xfId="0" applyNumberFormat="1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7" fillId="2" borderId="0" xfId="0" applyFont="1" applyFill="1" applyAlignment="1">
      <alignment horizontal="left" vertical="center" wrapText="1"/>
    </xf>
    <xf numFmtId="0" fontId="18" fillId="5" borderId="0" xfId="0" applyFont="1" applyFill="1" applyAlignment="1">
      <alignment horizontal="center" vertical="center" wrapText="1"/>
    </xf>
    <xf numFmtId="0" fontId="47" fillId="5" borderId="0" xfId="0" applyFont="1" applyFill="1" applyAlignment="1">
      <alignment horizontal="center" vertical="center"/>
    </xf>
    <xf numFmtId="165" fontId="117" fillId="10" borderId="82" xfId="0" applyNumberFormat="1" applyFont="1" applyFill="1" applyBorder="1" applyAlignment="1">
      <alignment horizontal="center" vertical="center"/>
    </xf>
    <xf numFmtId="2" fontId="117" fillId="10" borderId="82" xfId="0" applyNumberFormat="1" applyFont="1" applyFill="1" applyBorder="1" applyAlignment="1">
      <alignment horizontal="center" vertical="center"/>
    </xf>
    <xf numFmtId="164" fontId="117" fillId="10" borderId="82" xfId="0" applyNumberFormat="1" applyFont="1" applyFill="1" applyBorder="1" applyAlignment="1">
      <alignment horizontal="center" vertical="center"/>
    </xf>
    <xf numFmtId="1" fontId="117" fillId="10" borderId="8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9" fontId="118" fillId="2" borderId="0" xfId="0" applyNumberFormat="1" applyFont="1" applyFill="1" applyAlignment="1">
      <alignment horizontal="center" vertical="center"/>
    </xf>
    <xf numFmtId="0" fontId="75" fillId="2" borderId="59" xfId="0" applyFont="1" applyFill="1" applyBorder="1" applyAlignment="1">
      <alignment horizontal="center" vertical="center"/>
    </xf>
    <xf numFmtId="0" fontId="77" fillId="2" borderId="108" xfId="0" applyFont="1" applyFill="1" applyBorder="1" applyAlignment="1" applyProtection="1">
      <alignment horizontal="center" vertical="center"/>
      <protection locked="0"/>
    </xf>
    <xf numFmtId="0" fontId="78" fillId="2" borderId="109" xfId="0" applyFont="1" applyFill="1" applyBorder="1" applyAlignment="1" applyProtection="1">
      <alignment horizontal="center" vertical="center"/>
      <protection locked="0"/>
    </xf>
    <xf numFmtId="0" fontId="79" fillId="2" borderId="29" xfId="0" applyFont="1" applyFill="1" applyBorder="1" applyAlignment="1">
      <alignment horizontal="left" vertical="center"/>
    </xf>
    <xf numFmtId="2" fontId="66" fillId="2" borderId="47" xfId="0" applyNumberFormat="1" applyFont="1" applyFill="1" applyBorder="1" applyAlignment="1">
      <alignment horizontal="center" vertical="center"/>
    </xf>
    <xf numFmtId="2" fontId="66" fillId="2" borderId="46" xfId="0" applyNumberFormat="1" applyFont="1" applyFill="1" applyBorder="1" applyAlignment="1">
      <alignment horizontal="center" vertical="center"/>
    </xf>
    <xf numFmtId="2" fontId="66" fillId="2" borderId="12" xfId="0" applyNumberFormat="1" applyFont="1" applyFill="1" applyBorder="1" applyAlignment="1">
      <alignment horizontal="center" vertical="center"/>
    </xf>
    <xf numFmtId="0" fontId="53" fillId="0" borderId="60" xfId="0" applyFont="1" applyBorder="1" applyAlignment="1">
      <alignment vertical="center"/>
    </xf>
    <xf numFmtId="0" fontId="96" fillId="0" borderId="90" xfId="0" applyFont="1" applyBorder="1" applyAlignment="1">
      <alignment vertical="center"/>
    </xf>
    <xf numFmtId="0" fontId="96" fillId="0" borderId="0" xfId="0" applyFont="1" applyAlignment="1">
      <alignment horizontal="center" vertical="center"/>
    </xf>
    <xf numFmtId="0" fontId="96" fillId="0" borderId="91" xfId="0" applyFont="1" applyBorder="1" applyAlignment="1">
      <alignment horizontal="center" vertical="center"/>
    </xf>
    <xf numFmtId="0" fontId="96" fillId="0" borderId="92" xfId="0" applyFont="1" applyBorder="1" applyAlignment="1">
      <alignment vertical="center"/>
    </xf>
    <xf numFmtId="0" fontId="96" fillId="0" borderId="93" xfId="0" applyFont="1" applyBorder="1" applyAlignment="1">
      <alignment horizontal="center" vertical="center"/>
    </xf>
    <xf numFmtId="0" fontId="96" fillId="0" borderId="94" xfId="0" applyFont="1" applyBorder="1" applyAlignment="1">
      <alignment horizontal="center" vertical="center"/>
    </xf>
    <xf numFmtId="0" fontId="119" fillId="0" borderId="0" xfId="0" applyFont="1"/>
    <xf numFmtId="0" fontId="119" fillId="0" borderId="0" xfId="0" applyFont="1" applyAlignment="1">
      <alignment horizontal="left" vertical="center"/>
    </xf>
    <xf numFmtId="0" fontId="96" fillId="0" borderId="90" xfId="0" applyFont="1" applyBorder="1" applyAlignment="1" applyProtection="1">
      <alignment horizontal="left" vertical="center"/>
      <protection locked="0"/>
    </xf>
    <xf numFmtId="0" fontId="96" fillId="0" borderId="0" xfId="0" applyFont="1" applyAlignment="1" applyProtection="1">
      <alignment horizontal="center" vertical="center"/>
      <protection locked="0"/>
    </xf>
    <xf numFmtId="0" fontId="70" fillId="10" borderId="110" xfId="0" applyFont="1" applyFill="1" applyBorder="1" applyAlignment="1">
      <alignment horizontal="left" vertical="center"/>
    </xf>
    <xf numFmtId="2" fontId="16" fillId="3" borderId="114" xfId="0" applyNumberFormat="1" applyFont="1" applyFill="1" applyBorder="1" applyAlignment="1" applyProtection="1">
      <alignment horizontal="center" vertical="center"/>
      <protection locked="0"/>
    </xf>
    <xf numFmtId="164" fontId="16" fillId="3" borderId="115" xfId="0" applyNumberFormat="1" applyFont="1" applyFill="1" applyBorder="1" applyAlignment="1">
      <alignment horizontal="center" vertical="center"/>
    </xf>
    <xf numFmtId="2" fontId="17" fillId="3" borderId="114" xfId="0" applyNumberFormat="1" applyFont="1" applyFill="1" applyBorder="1" applyAlignment="1">
      <alignment horizontal="center" vertical="center"/>
    </xf>
    <xf numFmtId="165" fontId="16" fillId="3" borderId="116" xfId="0" applyNumberFormat="1" applyFont="1" applyFill="1" applyBorder="1" applyAlignment="1">
      <alignment horizontal="center" vertical="center"/>
    </xf>
    <xf numFmtId="165" fontId="16" fillId="3" borderId="117" xfId="0" applyNumberFormat="1" applyFont="1" applyFill="1" applyBorder="1" applyAlignment="1" applyProtection="1">
      <alignment horizontal="center" vertical="center"/>
      <protection locked="0"/>
    </xf>
    <xf numFmtId="0" fontId="124" fillId="0" borderId="0" xfId="0" applyFont="1" applyAlignment="1">
      <alignment horizontal="center" vertical="center"/>
    </xf>
    <xf numFmtId="0" fontId="124" fillId="0" borderId="0" xfId="0" applyFont="1"/>
    <xf numFmtId="0" fontId="122" fillId="2" borderId="0" xfId="6" applyFont="1" applyFill="1" applyBorder="1" applyAlignment="1">
      <alignment horizontal="center" vertical="center" wrapText="1"/>
    </xf>
    <xf numFmtId="0" fontId="119" fillId="0" borderId="0" xfId="0" applyFont="1" applyAlignment="1">
      <alignment horizontal="center" vertical="center"/>
    </xf>
    <xf numFmtId="165" fontId="21" fillId="3" borderId="22" xfId="0" applyNumberFormat="1" applyFont="1" applyFill="1" applyBorder="1" applyAlignment="1">
      <alignment horizontal="center" vertical="center"/>
    </xf>
    <xf numFmtId="0" fontId="126" fillId="5" borderId="0" xfId="0" applyFont="1" applyFill="1" applyAlignment="1">
      <alignment horizontal="left" vertical="center"/>
    </xf>
    <xf numFmtId="0" fontId="98" fillId="0" borderId="0" xfId="0" applyFont="1" applyAlignment="1">
      <alignment horizontal="left" vertical="top"/>
    </xf>
    <xf numFmtId="14" fontId="39" fillId="0" borderId="60" xfId="5" applyNumberFormat="1" applyFont="1" applyBorder="1" applyAlignment="1">
      <alignment horizontal="center" vertical="center"/>
    </xf>
    <xf numFmtId="0" fontId="17" fillId="0" borderId="0" xfId="5" applyFont="1" applyBorder="1" applyAlignment="1">
      <alignment horizontal="center" vertical="center"/>
    </xf>
    <xf numFmtId="0" fontId="58" fillId="5" borderId="28" xfId="0" applyFont="1" applyFill="1" applyBorder="1" applyAlignment="1">
      <alignment horizontal="center" vertical="center" wrapText="1"/>
    </xf>
    <xf numFmtId="0" fontId="53" fillId="13" borderId="111" xfId="0" applyFont="1" applyFill="1" applyBorder="1" applyAlignment="1">
      <alignment horizontal="center" vertical="center"/>
    </xf>
    <xf numFmtId="0" fontId="53" fillId="13" borderId="112" xfId="0" applyFont="1" applyFill="1" applyBorder="1" applyAlignment="1">
      <alignment horizontal="center" vertical="center"/>
    </xf>
    <xf numFmtId="0" fontId="53" fillId="13" borderId="113" xfId="0" applyFont="1" applyFill="1" applyBorder="1" applyAlignment="1">
      <alignment horizontal="center" vertical="center"/>
    </xf>
    <xf numFmtId="0" fontId="39" fillId="2" borderId="0" xfId="0" applyFont="1" applyFill="1" applyAlignment="1">
      <alignment horizontal="center" vertical="center"/>
    </xf>
    <xf numFmtId="0" fontId="58" fillId="5" borderId="28" xfId="0" applyFont="1" applyFill="1" applyBorder="1" applyAlignment="1">
      <alignment horizontal="center" vertical="center"/>
    </xf>
    <xf numFmtId="0" fontId="47" fillId="5" borderId="0" xfId="0" applyFont="1" applyFill="1" applyAlignment="1">
      <alignment horizontal="center" vertical="center"/>
    </xf>
    <xf numFmtId="0" fontId="66" fillId="2" borderId="48" xfId="0" applyFont="1" applyFill="1" applyBorder="1" applyAlignment="1">
      <alignment horizontal="left" vertical="center" wrapText="1"/>
    </xf>
    <xf numFmtId="0" fontId="66" fillId="2" borderId="56" xfId="0" applyFont="1" applyFill="1" applyBorder="1" applyAlignment="1">
      <alignment horizontal="left" vertical="center" wrapText="1"/>
    </xf>
    <xf numFmtId="9" fontId="22" fillId="2" borderId="0" xfId="0" applyNumberFormat="1" applyFont="1" applyFill="1" applyAlignment="1">
      <alignment horizontal="center" vertical="center"/>
    </xf>
    <xf numFmtId="9" fontId="99" fillId="2" borderId="67" xfId="0" applyNumberFormat="1" applyFont="1" applyFill="1" applyBorder="1" applyAlignment="1">
      <alignment horizontal="center" vertical="center"/>
    </xf>
    <xf numFmtId="9" fontId="99" fillId="2" borderId="0" xfId="0" applyNumberFormat="1" applyFont="1" applyFill="1" applyAlignment="1">
      <alignment horizontal="center" vertical="center"/>
    </xf>
    <xf numFmtId="0" fontId="47" fillId="5" borderId="19" xfId="0" applyFont="1" applyFill="1" applyBorder="1" applyAlignment="1">
      <alignment horizontal="center" vertical="center"/>
    </xf>
    <xf numFmtId="0" fontId="86" fillId="2" borderId="0" xfId="6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16" fillId="0" borderId="34" xfId="0" applyFont="1" applyBorder="1" applyAlignment="1">
      <alignment horizontal="left" vertical="center" wrapText="1"/>
    </xf>
    <xf numFmtId="0" fontId="16" fillId="0" borderId="119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125" fillId="2" borderId="120" xfId="6" applyFont="1" applyFill="1" applyBorder="1" applyAlignment="1">
      <alignment horizontal="left" vertical="center" wrapText="1"/>
    </xf>
    <xf numFmtId="0" fontId="125" fillId="2" borderId="121" xfId="6" applyFont="1" applyFill="1" applyBorder="1" applyAlignment="1">
      <alignment horizontal="left" vertical="center" wrapText="1"/>
    </xf>
    <xf numFmtId="0" fontId="125" fillId="2" borderId="122" xfId="6" applyFont="1" applyFill="1" applyBorder="1" applyAlignment="1">
      <alignment horizontal="left" vertical="center" wrapText="1"/>
    </xf>
    <xf numFmtId="0" fontId="61" fillId="2" borderId="0" xfId="6" applyFont="1" applyFill="1" applyBorder="1" applyAlignment="1">
      <alignment horizontal="center" vertical="center"/>
    </xf>
    <xf numFmtId="0" fontId="5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7" fillId="2" borderId="118" xfId="0" applyFont="1" applyFill="1" applyBorder="1" applyAlignment="1">
      <alignment vertical="center"/>
    </xf>
    <xf numFmtId="0" fontId="25" fillId="2" borderId="0" xfId="6" applyFont="1" applyFill="1" applyBorder="1" applyAlignment="1">
      <alignment horizontal="center" vertical="center" wrapText="1"/>
    </xf>
    <xf numFmtId="0" fontId="28" fillId="2" borderId="0" xfId="5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81" fillId="2" borderId="62" xfId="0" applyNumberFormat="1" applyFont="1" applyFill="1" applyBorder="1" applyAlignment="1">
      <alignment horizontal="center" vertical="center"/>
    </xf>
    <xf numFmtId="164" fontId="81" fillId="2" borderId="64" xfId="0" applyNumberFormat="1" applyFont="1" applyFill="1" applyBorder="1" applyAlignment="1">
      <alignment horizontal="center" vertical="center"/>
    </xf>
    <xf numFmtId="0" fontId="37" fillId="5" borderId="0" xfId="0" applyFont="1" applyFill="1" applyAlignment="1">
      <alignment horizontal="left" vertical="center" wrapText="1"/>
    </xf>
    <xf numFmtId="0" fontId="66" fillId="2" borderId="83" xfId="5" applyFont="1" applyFill="1" applyBorder="1" applyAlignment="1">
      <alignment horizontal="center" vertical="center" wrapText="1"/>
    </xf>
    <xf numFmtId="0" fontId="66" fillId="2" borderId="0" xfId="5" applyFont="1" applyFill="1" applyBorder="1" applyAlignment="1">
      <alignment horizontal="center" vertical="center" wrapText="1"/>
    </xf>
    <xf numFmtId="0" fontId="66" fillId="2" borderId="53" xfId="5" applyFont="1" applyFill="1" applyBorder="1" applyAlignment="1">
      <alignment horizontal="center" vertical="center" wrapText="1"/>
    </xf>
    <xf numFmtId="0" fontId="66" fillId="2" borderId="39" xfId="5" applyFont="1" applyFill="1" applyBorder="1" applyAlignment="1">
      <alignment horizontal="center" vertical="center" wrapText="1"/>
    </xf>
    <xf numFmtId="0" fontId="66" fillId="2" borderId="55" xfId="5" applyFont="1" applyFill="1" applyBorder="1" applyAlignment="1">
      <alignment horizontal="center" vertical="center" wrapText="1"/>
    </xf>
    <xf numFmtId="0" fontId="66" fillId="2" borderId="51" xfId="0" applyFont="1" applyFill="1" applyBorder="1" applyAlignment="1">
      <alignment horizontal="center" vertical="center"/>
    </xf>
    <xf numFmtId="0" fontId="66" fillId="2" borderId="40" xfId="0" applyFont="1" applyFill="1" applyBorder="1" applyAlignment="1">
      <alignment horizontal="center" vertical="center"/>
    </xf>
    <xf numFmtId="0" fontId="66" fillId="2" borderId="52" xfId="0" applyFont="1" applyFill="1" applyBorder="1" applyAlignment="1">
      <alignment horizontal="center" vertical="center"/>
    </xf>
    <xf numFmtId="0" fontId="17" fillId="0" borderId="0" xfId="5" applyFont="1" applyBorder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58" fillId="5" borderId="0" xfId="0" applyFont="1" applyFill="1" applyAlignment="1">
      <alignment horizontal="center" vertical="center"/>
    </xf>
    <xf numFmtId="0" fontId="93" fillId="5" borderId="33" xfId="5" applyFont="1" applyFill="1" applyBorder="1" applyAlignment="1">
      <alignment vertical="center" wrapText="1"/>
    </xf>
    <xf numFmtId="0" fontId="85" fillId="5" borderId="33" xfId="5" applyFont="1" applyFill="1" applyBorder="1" applyAlignment="1">
      <alignment vertical="center" wrapText="1"/>
    </xf>
    <xf numFmtId="0" fontId="66" fillId="2" borderId="0" xfId="5" applyFont="1" applyFill="1" applyBorder="1" applyAlignment="1">
      <alignment horizontal="left" vertical="top" wrapText="1"/>
    </xf>
    <xf numFmtId="9" fontId="117" fillId="10" borderId="0" xfId="0" applyNumberFormat="1" applyFont="1" applyFill="1" applyAlignment="1">
      <alignment horizontal="center" vertical="center"/>
    </xf>
    <xf numFmtId="9" fontId="63" fillId="2" borderId="62" xfId="0" applyNumberFormat="1" applyFont="1" applyFill="1" applyBorder="1" applyAlignment="1">
      <alignment horizontal="center" vertical="center"/>
    </xf>
    <xf numFmtId="9" fontId="63" fillId="2" borderId="63" xfId="0" applyNumberFormat="1" applyFont="1" applyFill="1" applyBorder="1" applyAlignment="1">
      <alignment horizontal="center" vertical="center"/>
    </xf>
    <xf numFmtId="9" fontId="66" fillId="2" borderId="0" xfId="0" applyNumberFormat="1" applyFont="1" applyFill="1" applyAlignment="1">
      <alignment horizontal="center" vertical="center"/>
    </xf>
    <xf numFmtId="0" fontId="39" fillId="0" borderId="60" xfId="5" applyFont="1" applyBorder="1" applyAlignment="1">
      <alignment horizontal="left" vertical="center"/>
    </xf>
    <xf numFmtId="0" fontId="63" fillId="2" borderId="62" xfId="0" applyFont="1" applyFill="1" applyBorder="1" applyAlignment="1">
      <alignment horizontal="center" vertical="center" wrapText="1"/>
    </xf>
    <xf numFmtId="0" fontId="63" fillId="2" borderId="64" xfId="0" applyFont="1" applyFill="1" applyBorder="1" applyAlignment="1">
      <alignment horizontal="center" vertical="center" wrapText="1"/>
    </xf>
    <xf numFmtId="0" fontId="111" fillId="5" borderId="0" xfId="0" applyFont="1" applyFill="1" applyAlignment="1">
      <alignment horizontal="center" vertical="center"/>
    </xf>
    <xf numFmtId="0" fontId="16" fillId="2" borderId="16" xfId="0" applyFont="1" applyFill="1" applyBorder="1" applyAlignment="1">
      <alignment vertical="center"/>
    </xf>
    <xf numFmtId="0" fontId="16" fillId="2" borderId="17" xfId="0" applyFont="1" applyFill="1" applyBorder="1" applyAlignment="1">
      <alignment vertical="center"/>
    </xf>
    <xf numFmtId="0" fontId="85" fillId="5" borderId="0" xfId="0" applyFont="1" applyFill="1" applyAlignment="1">
      <alignment horizontal="center" vertical="center"/>
    </xf>
    <xf numFmtId="0" fontId="39" fillId="9" borderId="6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66" fillId="2" borderId="0" xfId="0" applyFont="1" applyFill="1" applyAlignment="1">
      <alignment horizontal="center" vertical="center" wrapText="1"/>
    </xf>
    <xf numFmtId="0" fontId="39" fillId="9" borderId="0" xfId="0" applyFont="1" applyFill="1" applyAlignment="1">
      <alignment horizontal="center" vertical="center"/>
    </xf>
    <xf numFmtId="0" fontId="100" fillId="5" borderId="0" xfId="0" applyFont="1" applyFill="1" applyAlignment="1">
      <alignment horizontal="center" vertical="center"/>
    </xf>
    <xf numFmtId="0" fontId="15" fillId="0" borderId="84" xfId="0" applyFont="1" applyBorder="1" applyAlignment="1">
      <alignment horizontal="left" vertical="center" wrapText="1"/>
    </xf>
    <xf numFmtId="0" fontId="15" fillId="0" borderId="49" xfId="0" applyFont="1" applyBorder="1" applyAlignment="1">
      <alignment horizontal="left" vertical="center" wrapText="1"/>
    </xf>
    <xf numFmtId="0" fontId="15" fillId="0" borderId="50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9" fillId="0" borderId="5" xfId="0" applyFont="1" applyBorder="1" applyAlignment="1">
      <alignment vertical="center"/>
    </xf>
    <xf numFmtId="0" fontId="39" fillId="0" borderId="3" xfId="0" applyFont="1" applyBorder="1" applyAlignment="1">
      <alignment vertical="center"/>
    </xf>
    <xf numFmtId="0" fontId="39" fillId="0" borderId="6" xfId="0" applyFont="1" applyBorder="1" applyAlignment="1">
      <alignment vertical="center"/>
    </xf>
    <xf numFmtId="0" fontId="53" fillId="4" borderId="0" xfId="0" applyFont="1" applyFill="1" applyAlignment="1">
      <alignment horizontal="center" vertical="center"/>
    </xf>
    <xf numFmtId="0" fontId="66" fillId="2" borderId="45" xfId="0" applyFont="1" applyFill="1" applyBorder="1" applyAlignment="1">
      <alignment horizontal="center" vertical="center"/>
    </xf>
    <xf numFmtId="0" fontId="66" fillId="2" borderId="43" xfId="0" applyFont="1" applyFill="1" applyBorder="1" applyAlignment="1">
      <alignment horizontal="center" vertical="center"/>
    </xf>
    <xf numFmtId="0" fontId="39" fillId="0" borderId="5" xfId="0" applyFont="1" applyBorder="1" applyAlignment="1">
      <alignment horizontal="left" vertical="center"/>
    </xf>
    <xf numFmtId="0" fontId="39" fillId="0" borderId="3" xfId="0" applyFont="1" applyBorder="1" applyAlignment="1">
      <alignment horizontal="left" vertical="center"/>
    </xf>
    <xf numFmtId="0" fontId="39" fillId="0" borderId="6" xfId="0" applyFont="1" applyBorder="1" applyAlignment="1">
      <alignment horizontal="left" vertical="center"/>
    </xf>
    <xf numFmtId="0" fontId="79" fillId="3" borderId="73" xfId="0" applyFont="1" applyFill="1" applyBorder="1" applyAlignment="1">
      <alignment horizontal="center" vertical="center"/>
    </xf>
    <xf numFmtId="0" fontId="79" fillId="3" borderId="75" xfId="0" applyFont="1" applyFill="1" applyBorder="1" applyAlignment="1">
      <alignment horizontal="center" vertical="center"/>
    </xf>
    <xf numFmtId="0" fontId="79" fillId="3" borderId="77" xfId="0" applyFont="1" applyFill="1" applyBorder="1" applyAlignment="1">
      <alignment horizontal="center" vertical="center"/>
    </xf>
    <xf numFmtId="0" fontId="79" fillId="3" borderId="74" xfId="0" applyFont="1" applyFill="1" applyBorder="1" applyAlignment="1">
      <alignment horizontal="center" vertical="center"/>
    </xf>
    <xf numFmtId="0" fontId="79" fillId="3" borderId="76" xfId="0" applyFont="1" applyFill="1" applyBorder="1" applyAlignment="1">
      <alignment horizontal="center" vertical="center"/>
    </xf>
    <xf numFmtId="0" fontId="79" fillId="3" borderId="78" xfId="0" applyFont="1" applyFill="1" applyBorder="1" applyAlignment="1">
      <alignment horizontal="center" vertical="center"/>
    </xf>
    <xf numFmtId="165" fontId="79" fillId="3" borderId="74" xfId="0" applyNumberFormat="1" applyFont="1" applyFill="1" applyBorder="1" applyAlignment="1">
      <alignment horizontal="center" vertical="center"/>
    </xf>
    <xf numFmtId="165" fontId="79" fillId="3" borderId="76" xfId="0" applyNumberFormat="1" applyFont="1" applyFill="1" applyBorder="1" applyAlignment="1">
      <alignment horizontal="center" vertical="center"/>
    </xf>
    <xf numFmtId="165" fontId="79" fillId="3" borderId="78" xfId="0" applyNumberFormat="1" applyFont="1" applyFill="1" applyBorder="1" applyAlignment="1">
      <alignment horizontal="center" vertical="center"/>
    </xf>
    <xf numFmtId="0" fontId="79" fillId="3" borderId="79" xfId="0" applyFont="1" applyFill="1" applyBorder="1" applyAlignment="1">
      <alignment horizontal="center" vertical="center"/>
    </xf>
    <xf numFmtId="0" fontId="79" fillId="3" borderId="80" xfId="0" applyFont="1" applyFill="1" applyBorder="1" applyAlignment="1">
      <alignment horizontal="center" vertical="center"/>
    </xf>
    <xf numFmtId="165" fontId="79" fillId="3" borderId="80" xfId="0" applyNumberFormat="1" applyFont="1" applyFill="1" applyBorder="1" applyAlignment="1">
      <alignment horizontal="center" vertical="center"/>
    </xf>
    <xf numFmtId="0" fontId="53" fillId="0" borderId="7" xfId="0" applyFont="1" applyBorder="1" applyAlignment="1">
      <alignment vertical="center"/>
    </xf>
    <xf numFmtId="0" fontId="53" fillId="0" borderId="9" xfId="0" applyFont="1" applyBorder="1" applyAlignment="1">
      <alignment vertical="center"/>
    </xf>
    <xf numFmtId="0" fontId="29" fillId="10" borderId="0" xfId="0" applyFont="1" applyFill="1" applyAlignment="1">
      <alignment horizontal="center" vertical="center" wrapText="1"/>
    </xf>
    <xf numFmtId="0" fontId="29" fillId="10" borderId="33" xfId="0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79" fillId="2" borderId="107" xfId="0" applyFont="1" applyFill="1" applyBorder="1" applyAlignment="1">
      <alignment horizontal="left" vertical="center"/>
    </xf>
    <xf numFmtId="0" fontId="79" fillId="2" borderId="29" xfId="0" applyFont="1" applyFill="1" applyBorder="1" applyAlignment="1">
      <alignment horizontal="left" vertical="center"/>
    </xf>
    <xf numFmtId="14" fontId="66" fillId="2" borderId="62" xfId="0" applyNumberFormat="1" applyFont="1" applyFill="1" applyBorder="1" applyAlignment="1">
      <alignment horizontal="left" vertical="center" wrapText="1"/>
    </xf>
    <xf numFmtId="14" fontId="66" fillId="2" borderId="63" xfId="0" applyNumberFormat="1" applyFont="1" applyFill="1" applyBorder="1" applyAlignment="1">
      <alignment horizontal="left" vertical="center" wrapText="1"/>
    </xf>
    <xf numFmtId="14" fontId="66" fillId="2" borderId="64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51" fillId="0" borderId="0" xfId="5" applyFont="1" applyBorder="1" applyAlignment="1">
      <alignment horizontal="center" vertical="center"/>
    </xf>
    <xf numFmtId="0" fontId="66" fillId="2" borderId="62" xfId="0" applyFont="1" applyFill="1" applyBorder="1" applyAlignment="1">
      <alignment horizontal="left" vertical="center" wrapText="1"/>
    </xf>
    <xf numFmtId="0" fontId="66" fillId="2" borderId="63" xfId="0" applyFont="1" applyFill="1" applyBorder="1" applyAlignment="1">
      <alignment horizontal="left" vertical="center" wrapText="1"/>
    </xf>
    <xf numFmtId="0" fontId="66" fillId="2" borderId="64" xfId="0" applyFont="1" applyFill="1" applyBorder="1" applyAlignment="1">
      <alignment horizontal="left" vertical="center" wrapText="1"/>
    </xf>
    <xf numFmtId="0" fontId="51" fillId="0" borderId="0" xfId="5" applyFont="1" applyBorder="1" applyAlignment="1">
      <alignment horizontal="left" vertical="center"/>
    </xf>
    <xf numFmtId="9" fontId="74" fillId="2" borderId="0" xfId="0" applyNumberFormat="1" applyFont="1" applyFill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21" fillId="3" borderId="29" xfId="0" applyFont="1" applyFill="1" applyBorder="1" applyAlignment="1">
      <alignment horizontal="center" vertical="center"/>
    </xf>
    <xf numFmtId="0" fontId="21" fillId="2" borderId="51" xfId="0" applyFont="1" applyFill="1" applyBorder="1" applyAlignment="1">
      <alignment horizontal="center" vertical="center"/>
    </xf>
    <xf numFmtId="0" fontId="21" fillId="2" borderId="40" xfId="0" applyFont="1" applyFill="1" applyBorder="1" applyAlignment="1">
      <alignment horizontal="center" vertical="center"/>
    </xf>
    <xf numFmtId="0" fontId="21" fillId="2" borderId="5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0" fontId="17" fillId="0" borderId="54" xfId="5" applyFont="1" applyBorder="1" applyAlignment="1">
      <alignment horizontal="left" vertical="center" wrapText="1"/>
    </xf>
    <xf numFmtId="0" fontId="17" fillId="0" borderId="39" xfId="5" applyFont="1" applyBorder="1" applyAlignment="1">
      <alignment horizontal="left" vertical="center" wrapText="1"/>
    </xf>
    <xf numFmtId="0" fontId="17" fillId="0" borderId="55" xfId="5" applyFont="1" applyBorder="1" applyAlignment="1">
      <alignment horizontal="left" vertical="center" wrapText="1"/>
    </xf>
    <xf numFmtId="0" fontId="71" fillId="0" borderId="0" xfId="0" applyFont="1" applyAlignment="1">
      <alignment horizontal="center" vertical="center"/>
    </xf>
    <xf numFmtId="0" fontId="21" fillId="0" borderId="85" xfId="0" applyFont="1" applyBorder="1" applyAlignment="1">
      <alignment horizontal="center" vertical="center"/>
    </xf>
    <xf numFmtId="0" fontId="110" fillId="2" borderId="0" xfId="0" applyFont="1" applyFill="1" applyAlignment="1">
      <alignment horizontal="center" vertical="center"/>
    </xf>
    <xf numFmtId="164" fontId="52" fillId="2" borderId="85" xfId="0" applyNumberFormat="1" applyFont="1" applyFill="1" applyBorder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73" fillId="0" borderId="0" xfId="6" applyFont="1" applyAlignment="1">
      <alignment horizontal="center" vertical="center"/>
    </xf>
    <xf numFmtId="0" fontId="119" fillId="0" borderId="0" xfId="0" applyFont="1" applyAlignment="1">
      <alignment horizontal="left" vertical="center" wrapText="1"/>
    </xf>
    <xf numFmtId="0" fontId="66" fillId="0" borderId="87" xfId="0" applyFont="1" applyBorder="1" applyAlignment="1">
      <alignment vertical="center" wrapText="1"/>
    </xf>
    <xf numFmtId="0" fontId="66" fillId="0" borderId="88" xfId="0" applyFont="1" applyBorder="1" applyAlignment="1">
      <alignment vertical="center" wrapText="1"/>
    </xf>
    <xf numFmtId="0" fontId="66" fillId="0" borderId="89" xfId="0" applyFont="1" applyBorder="1" applyAlignment="1">
      <alignment vertical="center" wrapText="1"/>
    </xf>
    <xf numFmtId="0" fontId="121" fillId="0" borderId="95" xfId="0" applyFont="1" applyBorder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120" fillId="0" borderId="2" xfId="0" applyFont="1" applyBorder="1" applyAlignment="1">
      <alignment horizontal="left" vertical="center"/>
    </xf>
    <xf numFmtId="0" fontId="86" fillId="2" borderId="42" xfId="6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16" fillId="3" borderId="123" xfId="0" applyFont="1" applyFill="1" applyBorder="1" applyAlignment="1">
      <alignment horizontal="left" vertical="center"/>
    </xf>
    <xf numFmtId="0" fontId="16" fillId="3" borderId="41" xfId="0" applyFont="1" applyFill="1" applyBorder="1" applyAlignment="1">
      <alignment horizontal="left" vertical="center"/>
    </xf>
    <xf numFmtId="0" fontId="16" fillId="3" borderId="124" xfId="0" applyFont="1" applyFill="1" applyBorder="1" applyAlignment="1">
      <alignment horizontal="left" vertical="center"/>
    </xf>
  </cellXfs>
  <cellStyles count="7">
    <cellStyle name="Followed Hyperlink" xfId="4" builtinId="9" hidden="1"/>
    <cellStyle name="Followed Hyperlink" xfId="2" builtinId="9" hidden="1"/>
    <cellStyle name="Heading 2" xfId="5" builtinId="17"/>
    <cellStyle name="Hyperlink" xfId="3" builtinId="8" hidden="1"/>
    <cellStyle name="Hyperlink" xfId="1" builtinId="8" hidden="1"/>
    <cellStyle name="Hyperlink" xfId="6" builtinId="8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000000"/>
      <rgbColor rgb="00FFFFFF"/>
      <rgbColor rgb="006E7D6E"/>
      <rgbColor rgb="00F0FFF0"/>
      <rgbColor rgb="00C8E1C8"/>
      <rgbColor rgb="00E6FFE6"/>
      <rgbColor rgb="00CECECE"/>
      <rgbColor rgb="00000000"/>
      <rgbColor rgb="00000000"/>
      <rgbColor rgb="00000000"/>
      <rgbColor rgb="0000AAAA"/>
      <rgbColor rgb="00005555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6EBF6"/>
      <color rgb="FFFE4352"/>
      <color rgb="FFFF6900"/>
      <color rgb="FFFE7A7A"/>
      <color rgb="FFEBF4C8"/>
      <color rgb="FFF8F8F8"/>
      <color rgb="FFF0F3FA"/>
      <color rgb="FFF9FBE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241100304848232E-2"/>
          <c:y val="9.9999932987144921E-2"/>
          <c:w val="0.88711912620119981"/>
          <c:h val="0.7275662028816845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75"/>
      </c:doughnutChart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82568558240563E-2"/>
          <c:y val="8.736326320899597E-2"/>
          <c:w val="0.88873563218390805"/>
          <c:h val="0.78187716275979424"/>
        </c:manualLayout>
      </c:layout>
      <c:lineChart>
        <c:grouping val="standard"/>
        <c:varyColors val="0"/>
        <c:ser>
          <c:idx val="0"/>
          <c:order val="0"/>
          <c:spPr>
            <a:ln w="38100" cap="rnd">
              <a:solidFill>
                <a:srgbClr val="00B050"/>
              </a:solidFill>
              <a:round/>
              <a:headEnd type="none"/>
              <a:tailEnd type="none"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rgbClr val="00B050"/>
                </a:solidFill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solidFill>
                    <a:srgbClr val="00B050"/>
                  </a:solidFill>
                </a:ln>
                <a:effectLst/>
              </c:spPr>
            </c:marker>
            <c:bubble3D val="0"/>
            <c:spPr>
              <a:ln w="31750" cap="rnd">
                <a:solidFill>
                  <a:srgbClr val="00B050"/>
                </a:solidFill>
                <a:round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4E-1549-A7AE-7E215CB60C20}"/>
              </c:ext>
            </c:extLst>
          </c:dPt>
          <c:dLbls>
            <c:dLbl>
              <c:idx val="0"/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4E-1549-A7AE-7E215CB60C20}"/>
                </c:ext>
              </c:extLst>
            </c:dLbl>
            <c:dLbl>
              <c:idx val="1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F4E-1549-A7AE-7E215CB60C20}"/>
                </c:ext>
              </c:extLst>
            </c:dLbl>
            <c:dLbl>
              <c:idx val="2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F4E-1549-A7AE-7E215CB60C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2540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6.4837621322985525E-2"/>
                  <c:y val="6.0477941843873782E-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val>
            <c:numRef>
              <c:f>Scoring!$H$10:$H$12</c:f>
              <c:numCache>
                <c:formatCode>0%</c:formatCode>
                <c:ptCount val="3"/>
                <c:pt idx="0">
                  <c:v>1</c:v>
                </c:pt>
                <c:pt idx="1">
                  <c:v>0.93333333333333335</c:v>
                </c:pt>
                <c:pt idx="2">
                  <c:v>0.5625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F4E-1549-A7AE-7E215CB60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2846447"/>
        <c:axId val="521519727"/>
      </c:lineChart>
      <c:catAx>
        <c:axId val="522846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1519727"/>
        <c:crosses val="autoZero"/>
        <c:auto val="1"/>
        <c:lblAlgn val="ctr"/>
        <c:lblOffset val="100"/>
        <c:noMultiLvlLbl val="0"/>
      </c:catAx>
      <c:valAx>
        <c:axId val="52151972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846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241100304848232E-2"/>
          <c:y val="0.18845694739389457"/>
          <c:w val="0.88711912620119981"/>
          <c:h val="0.7275662028816845"/>
        </c:manualLayout>
      </c:layout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9D-DA42-B93D-19743C0072E5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A9D-DA42-B93D-19743C0072E5}"/>
              </c:ext>
            </c:extLst>
          </c:dPt>
          <c:dLbls>
            <c:delete val="1"/>
          </c:dLbls>
          <c:val>
            <c:numRef>
              <c:f>'Print Results'!$V$43:$V$44</c:f>
              <c:numCache>
                <c:formatCode>0%</c:formatCode>
                <c:ptCount val="2"/>
                <c:pt idx="0">
                  <c:v>0.82608695652173914</c:v>
                </c:pt>
                <c:pt idx="1">
                  <c:v>0.17391304347826086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9D-DA42-B93D-19743C0072E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583427071616045E-2"/>
          <c:y val="0.17384989561365394"/>
          <c:w val="0.92988909365052774"/>
          <c:h val="0.771873443477707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'Print Results'!$C$9</c:f>
              <c:strCache>
                <c:ptCount val="1"/>
                <c:pt idx="0">
                  <c:v>Correct</c:v>
                </c:pt>
              </c:strCache>
            </c:strRef>
          </c:tx>
          <c:spPr>
            <a:gradFill>
              <a:gsLst>
                <a:gs pos="0">
                  <a:schemeClr val="accent6">
                    <a:lumMod val="40000"/>
                    <a:lumOff val="60000"/>
                  </a:schemeClr>
                </a:gs>
                <a:gs pos="46000">
                  <a:schemeClr val="accent6">
                    <a:lumMod val="95000"/>
                    <a:lumOff val="5000"/>
                  </a:schemeClr>
                </a:gs>
                <a:gs pos="100000">
                  <a:schemeClr val="accent6">
                    <a:lumMod val="60000"/>
                  </a:schemeClr>
                </a:gs>
              </a:gsLst>
              <a:path path="circle">
                <a:fillToRect l="50000" t="130000" r="50000" b="-30000"/>
              </a:path>
            </a:gra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110-A64C-B185-0BA499127FE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110-A64C-B185-0BA499127FE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110-A64C-B185-0BA499127FE1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'Print Results'!$C$10:$C$12</c:f>
              <c:numCache>
                <c:formatCode>General</c:formatCode>
                <c:ptCount val="3"/>
                <c:pt idx="0">
                  <c:v>15</c:v>
                </c:pt>
                <c:pt idx="1">
                  <c:v>14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10-A64C-B185-0BA499127FE1}"/>
            </c:ext>
          </c:extLst>
        </c:ser>
        <c:ser>
          <c:idx val="1"/>
          <c:order val="1"/>
          <c:tx>
            <c:strRef>
              <c:f>'Print Results'!$D$9</c:f>
              <c:strCache>
                <c:ptCount val="1"/>
                <c:pt idx="0">
                  <c:v>Commissions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lumMod val="89000"/>
                  </a:schemeClr>
                </a:gs>
                <a:gs pos="23000">
                  <a:schemeClr val="accent2">
                    <a:lumMod val="89000"/>
                  </a:schemeClr>
                </a:gs>
                <a:gs pos="69000">
                  <a:schemeClr val="accent2">
                    <a:lumMod val="75000"/>
                  </a:schemeClr>
                </a:gs>
                <a:gs pos="97000">
                  <a:schemeClr val="accent2">
                    <a:lumMod val="70000"/>
                  </a:schemeClr>
                </a:gs>
              </a:gsLst>
              <a:path path="circle">
                <a:fillToRect l="50000" t="50000" r="50000" b="50000"/>
              </a:path>
              <a:tileRect/>
            </a:gradFill>
            <a:ln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'Print Results'!$D$10:$D$12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10-A64C-B185-0BA499127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259072"/>
        <c:axId val="50260992"/>
      </c:barChart>
      <c:catAx>
        <c:axId val="50259072"/>
        <c:scaling>
          <c:orientation val="minMax"/>
        </c:scaling>
        <c:delete val="0"/>
        <c:axPos val="b"/>
        <c:majorTickMark val="none"/>
        <c:minorTickMark val="none"/>
        <c:tickLblPos val="none"/>
        <c:crossAx val="5026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260992"/>
        <c:scaling>
          <c:orientation val="minMax"/>
          <c:max val="15"/>
          <c:min val="0"/>
        </c:scaling>
        <c:delete val="0"/>
        <c:axPos val="l"/>
        <c:majorGridlines>
          <c:spPr>
            <a:ln w="3175"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>
                <a:latin typeface="+mn-lt"/>
              </a:defRPr>
            </a:pPr>
            <a:endParaRPr lang="en-US"/>
          </a:p>
        </c:txPr>
        <c:crossAx val="50259072"/>
        <c:crosses val="autoZero"/>
        <c:crossBetween val="between"/>
        <c:majorUnit val="1"/>
        <c:minorUnit val="1"/>
      </c:valAx>
    </c:plotArea>
    <c:legend>
      <c:legendPos val="t"/>
      <c:legendEntry>
        <c:idx val="0"/>
        <c:txPr>
          <a:bodyPr/>
          <a:lstStyle/>
          <a:p>
            <a:pPr>
              <a:defRPr sz="800" baseline="0">
                <a:solidFill>
                  <a:schemeClr val="tx1"/>
                </a:solidFill>
                <a:latin typeface="+mn-lt"/>
                <a:cs typeface="Arial" pitchFamily="34" charset="0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aseline="0">
                <a:solidFill>
                  <a:schemeClr val="tx1"/>
                </a:solidFill>
                <a:latin typeface="+mn-lt"/>
                <a:cs typeface="Arial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21156587217810965"/>
          <c:y val="2.4635853991485213E-2"/>
          <c:w val="0.56925183109072752"/>
          <c:h val="9.0260147863464493E-2"/>
        </c:manualLayout>
      </c:layout>
      <c:overlay val="0"/>
      <c:txPr>
        <a:bodyPr/>
        <a:lstStyle/>
        <a:p>
          <a:pPr>
            <a:defRPr sz="800" baseline="0">
              <a:solidFill>
                <a:schemeClr val="tx1"/>
              </a:solidFill>
              <a:latin typeface="+mn-lt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/>
    <a:scene3d>
      <a:camera prst="orthographicFront"/>
      <a:lightRig rig="threePt" dir="t"/>
    </a:scene3d>
    <a:sp3d/>
  </c:spPr>
  <c:printSettings>
    <c:headerFooter/>
    <c:pageMargins b="1" l="0.750000000000001" r="0.750000000000001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>
                <a:solidFill>
                  <a:schemeClr val="tx1"/>
                </a:solidFill>
              </a:rPr>
              <a:t>Tens Test Accuracy</a:t>
            </a:r>
            <a:r>
              <a:rPr lang="en-US" sz="900" b="1" baseline="0">
                <a:solidFill>
                  <a:schemeClr val="tx1"/>
                </a:solidFill>
              </a:rPr>
              <a:t> Index Across Administrations</a:t>
            </a:r>
            <a:endParaRPr lang="en-US" sz="900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74659069727608"/>
          <c:y val="0.17799131535936974"/>
          <c:w val="0.86306466969939699"/>
          <c:h val="0.70324556675824534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5">
                    <a:lumMod val="40000"/>
                    <a:lumOff val="60000"/>
                  </a:schemeClr>
                </a:gs>
                <a:gs pos="46000">
                  <a:schemeClr val="accent5">
                    <a:lumMod val="95000"/>
                    <a:lumOff val="5000"/>
                  </a:schemeClr>
                </a:gs>
                <a:gs pos="100000">
                  <a:schemeClr val="accent5">
                    <a:lumMod val="60000"/>
                  </a:schemeClr>
                </a:gs>
              </a:gsLst>
              <a:path path="circle">
                <a:fillToRect l="50000" t="130000" r="50000" b="-30000"/>
              </a:path>
            </a:gradFill>
            <a:ln>
              <a:noFill/>
            </a:ln>
            <a:effectLst/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'Repeat Assessments'!$C$7:$C$11</c:f>
              <c:strCache>
                <c:ptCount val="4"/>
                <c:pt idx="0">
                  <c:v>1.1.26</c:v>
                </c:pt>
                <c:pt idx="1">
                  <c:v>2..1.26</c:v>
                </c:pt>
                <c:pt idx="2">
                  <c:v>3.1.26</c:v>
                </c:pt>
                <c:pt idx="3">
                  <c:v>7.1.26</c:v>
                </c:pt>
              </c:strCache>
            </c:strRef>
          </c:cat>
          <c:val>
            <c:numRef>
              <c:f>'Repeat Assessments'!$F$7:$F$11</c:f>
              <c:numCache>
                <c:formatCode>0.0%</c:formatCode>
                <c:ptCount val="5"/>
                <c:pt idx="0">
                  <c:v>0.86956521739130432</c:v>
                </c:pt>
                <c:pt idx="1">
                  <c:v>0.8666666666666667</c:v>
                </c:pt>
                <c:pt idx="2">
                  <c:v>0.8666666666666667</c:v>
                </c:pt>
                <c:pt idx="3">
                  <c:v>0.63829787234042556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DE-4A6B-B1AB-D22D851F3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823023"/>
        <c:axId val="29822063"/>
      </c:barChart>
      <c:catAx>
        <c:axId val="29823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822063"/>
        <c:crossesAt val="0"/>
        <c:auto val="1"/>
        <c:lblAlgn val="ctr"/>
        <c:lblOffset val="100"/>
        <c:noMultiLvlLbl val="0"/>
      </c:catAx>
      <c:valAx>
        <c:axId val="29822063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8230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241100304848232E-2"/>
          <c:y val="0.18845694739389457"/>
          <c:w val="0.88711912620119981"/>
          <c:h val="0.7275662028816845"/>
        </c:manualLayout>
      </c:layout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0C8-4A6A-84D6-293603D957F2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0C8-4A6A-84D6-293603D957F2}"/>
              </c:ext>
            </c:extLst>
          </c:dPt>
          <c:dLbls>
            <c:delete val="1"/>
          </c:dLbls>
          <c:val>
            <c:numRef>
              <c:f>'Print Results'!$V$43:$V$44</c:f>
              <c:numCache>
                <c:formatCode>0%</c:formatCode>
                <c:ptCount val="2"/>
                <c:pt idx="0">
                  <c:v>0.82608695652173914</c:v>
                </c:pt>
                <c:pt idx="1">
                  <c:v>0.17391304347826086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C8-4A6A-84D6-293603D957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583427071616045E-2"/>
          <c:y val="0.1940381113991278"/>
          <c:w val="0.92988909365052774"/>
          <c:h val="0.71491995601960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'Print Results'!$C$9</c:f>
              <c:strCache>
                <c:ptCount val="1"/>
                <c:pt idx="0">
                  <c:v>Correct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5AD-468C-B881-429341D22EC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AD-468C-B881-429341D22EC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5AD-468C-B881-429341D22EC8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'Print Results'!$C$10:$C$12</c:f>
              <c:numCache>
                <c:formatCode>General</c:formatCode>
                <c:ptCount val="3"/>
                <c:pt idx="0">
                  <c:v>15</c:v>
                </c:pt>
                <c:pt idx="1">
                  <c:v>14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AD-468C-B881-429341D22EC8}"/>
            </c:ext>
          </c:extLst>
        </c:ser>
        <c:ser>
          <c:idx val="1"/>
          <c:order val="1"/>
          <c:tx>
            <c:strRef>
              <c:f>'Print Results'!$D$9</c:f>
              <c:strCache>
                <c:ptCount val="1"/>
                <c:pt idx="0">
                  <c:v>Commissions</c:v>
                </c:pt>
              </c:strCache>
            </c:strRef>
          </c:tx>
          <c:spPr>
            <a:pattFill prst="pct60">
              <a:fgClr>
                <a:schemeClr val="bg1">
                  <a:lumMod val="75000"/>
                </a:schemeClr>
              </a:fgClr>
              <a:bgClr>
                <a:schemeClr val="bg1"/>
              </a:bgClr>
            </a:patt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pattFill prst="pct70">
                <a:fgClr>
                  <a:schemeClr val="bg1">
                    <a:lumMod val="75000"/>
                  </a:schemeClr>
                </a:fgClr>
                <a:bgClr>
                  <a:schemeClr val="bg1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3D86-FB48-B83E-42A5C7CEAAFF}"/>
              </c:ext>
            </c:extLst>
          </c:dPt>
          <c:dLbls>
            <c:dLbl>
              <c:idx val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70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D86-FB48-B83E-42A5C7CEAAFF}"/>
                </c:ext>
              </c:extLst>
            </c:dLbl>
            <c:dLbl>
              <c:idx val="1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70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F35-47B9-B542-FBD900F31645}"/>
                </c:ext>
              </c:extLst>
            </c:dLbl>
            <c:dLbl>
              <c:idx val="2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70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3D86-FB48-B83E-42A5C7CEAA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'Print Results'!$D$10:$D$12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AD-468C-B881-429341D22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259072"/>
        <c:axId val="50260992"/>
      </c:barChart>
      <c:catAx>
        <c:axId val="50259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>
                    <a:latin typeface="+mn-lt"/>
                  </a:defRPr>
                </a:pPr>
                <a:endParaRPr lang="en-US" sz="700" b="0">
                  <a:latin typeface="+mn-lt"/>
                </a:endParaRPr>
              </a:p>
              <a:p>
                <a:pPr>
                  <a:defRPr sz="700">
                    <a:latin typeface="+mn-lt"/>
                  </a:defRPr>
                </a:pPr>
                <a:r>
                  <a:rPr lang="en-US" sz="700" b="0">
                    <a:latin typeface="+mn-lt"/>
                  </a:rPr>
                  <a:t>                  1.8 sec.                     </a:t>
                </a:r>
                <a:r>
                  <a:rPr lang="en-US" sz="700" b="0" baseline="0">
                    <a:latin typeface="+mn-lt"/>
                  </a:rPr>
                  <a:t>                   </a:t>
                </a:r>
                <a:r>
                  <a:rPr lang="en-US" sz="700" b="0">
                    <a:latin typeface="+mn-lt"/>
                  </a:rPr>
                  <a:t>1.4 sec</a:t>
                </a:r>
                <a:r>
                  <a:rPr lang="en-US" sz="700" b="0" baseline="0">
                    <a:latin typeface="+mn-lt"/>
                  </a:rPr>
                  <a:t>  </a:t>
                </a:r>
                <a:r>
                  <a:rPr lang="en-US" sz="700" b="0">
                    <a:latin typeface="+mn-lt"/>
                  </a:rPr>
                  <a:t>                                        1.0 sec</a:t>
                </a:r>
              </a:p>
            </c:rich>
          </c:tx>
          <c:layout>
            <c:manualLayout>
              <c:xMode val="edge"/>
              <c:yMode val="edge"/>
              <c:x val="0.11111140953873774"/>
              <c:y val="0.85657134790289535"/>
            </c:manualLayout>
          </c:layout>
          <c:overlay val="0"/>
          <c:spPr>
            <a:ln w="0">
              <a:noFill/>
            </a:ln>
          </c:spPr>
        </c:title>
        <c:majorTickMark val="none"/>
        <c:minorTickMark val="none"/>
        <c:tickLblPos val="none"/>
        <c:crossAx val="5026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260992"/>
        <c:scaling>
          <c:orientation val="minMax"/>
          <c:max val="15"/>
          <c:min val="0"/>
        </c:scaling>
        <c:delete val="0"/>
        <c:axPos val="l"/>
        <c:majorGridlines>
          <c:spPr>
            <a:ln w="3175"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>
                <a:latin typeface="+mn-lt"/>
              </a:defRPr>
            </a:pPr>
            <a:endParaRPr lang="en-US"/>
          </a:p>
        </c:txPr>
        <c:crossAx val="50259072"/>
        <c:crosses val="autoZero"/>
        <c:crossBetween val="between"/>
        <c:majorUnit val="1"/>
        <c:minorUnit val="1"/>
      </c:valAx>
    </c:plotArea>
    <c:legend>
      <c:legendPos val="t"/>
      <c:legendEntry>
        <c:idx val="0"/>
        <c:txPr>
          <a:bodyPr/>
          <a:lstStyle/>
          <a:p>
            <a:pPr>
              <a:defRPr sz="800" baseline="0">
                <a:solidFill>
                  <a:schemeClr val="tx1"/>
                </a:solidFill>
                <a:latin typeface="+mn-lt"/>
                <a:cs typeface="Arial" pitchFamily="34" charset="0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aseline="0">
                <a:solidFill>
                  <a:schemeClr val="tx1"/>
                </a:solidFill>
                <a:latin typeface="+mn-lt"/>
                <a:cs typeface="Arial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521001993436859"/>
          <c:y val="5.3207566483445719E-2"/>
          <c:w val="0.56925183109072752"/>
          <c:h val="9.0260147863464493E-2"/>
        </c:manualLayout>
      </c:layout>
      <c:overlay val="0"/>
      <c:txPr>
        <a:bodyPr/>
        <a:lstStyle/>
        <a:p>
          <a:pPr>
            <a:defRPr sz="800" baseline="0">
              <a:solidFill>
                <a:schemeClr val="tx1"/>
              </a:solidFill>
              <a:latin typeface="+mn-lt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/>
    <a:scene3d>
      <a:camera prst="orthographicFront"/>
      <a:lightRig rig="threePt" dir="t"/>
    </a:scene3d>
    <a:sp3d/>
  </c:spPr>
  <c:printSettings>
    <c:headerFooter/>
    <c:pageMargins b="1" l="0.750000000000001" r="0.750000000000001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4604593403295"/>
          <c:y val="8.736326320899597E-2"/>
          <c:w val="0.87231526681638138"/>
          <c:h val="0.8200590109805002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tx1"/>
              </a:solidFill>
              <a:round/>
              <a:headEnd type="none"/>
              <a:tailEnd type="none"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12700">
                <a:solidFill>
                  <a:schemeClr val="tx1"/>
                </a:solidFill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tx1"/>
                </a:solidFill>
                <a:round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1-417F-46F9-AD8D-7019635015D9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17F-46F9-AD8D-7019635015D9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17F-46F9-AD8D-7019635015D9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17F-46F9-AD8D-7019635015D9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2540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3.0205883355489654E-2"/>
                  <c:y val="3.7462519376124707E-2"/>
                </c:manualLayout>
              </c:layout>
              <c:numFmt formatCode="#,##0.00" sourceLinked="0"/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val>
            <c:numRef>
              <c:f>'Print Results'!$E$10:$E$12</c:f>
              <c:numCache>
                <c:formatCode>0%</c:formatCode>
                <c:ptCount val="3"/>
                <c:pt idx="0">
                  <c:v>1</c:v>
                </c:pt>
                <c:pt idx="1">
                  <c:v>0.93333333333333335</c:v>
                </c:pt>
                <c:pt idx="2">
                  <c:v>0.5625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17F-46F9-AD8D-701963501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2846447"/>
        <c:axId val="521519727"/>
      </c:lineChart>
      <c:catAx>
        <c:axId val="522846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1519727"/>
        <c:crosses val="autoZero"/>
        <c:auto val="1"/>
        <c:lblAlgn val="ctr"/>
        <c:lblOffset val="100"/>
        <c:noMultiLvlLbl val="0"/>
      </c:catAx>
      <c:valAx>
        <c:axId val="52151972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846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4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5" Type="http://schemas.openxmlformats.org/officeDocument/2006/relationships/hyperlink" Target="#'Print Results'!A1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76199</xdr:colOff>
      <xdr:row>9</xdr:row>
      <xdr:rowOff>52917</xdr:rowOff>
    </xdr:from>
    <xdr:to>
      <xdr:col>14</xdr:col>
      <xdr:colOff>1558636</xdr:colOff>
      <xdr:row>12</xdr:row>
      <xdr:rowOff>243418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266700</xdr:colOff>
      <xdr:row>16</xdr:row>
      <xdr:rowOff>42335</xdr:rowOff>
    </xdr:from>
    <xdr:to>
      <xdr:col>16</xdr:col>
      <xdr:colOff>1676400</xdr:colOff>
      <xdr:row>24</xdr:row>
      <xdr:rowOff>12701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162790</xdr:colOff>
      <xdr:row>24</xdr:row>
      <xdr:rowOff>12009</xdr:rowOff>
    </xdr:from>
    <xdr:to>
      <xdr:col>18</xdr:col>
      <xdr:colOff>47336</xdr:colOff>
      <xdr:row>27</xdr:row>
      <xdr:rowOff>419100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3DB133F-251C-0D4A-A8EB-CCC77FFCDBDE}"/>
            </a:ext>
          </a:extLst>
        </xdr:cNvPr>
        <xdr:cNvSpPr txBox="1"/>
      </xdr:nvSpPr>
      <xdr:spPr>
        <a:xfrm>
          <a:off x="8102830" y="5155509"/>
          <a:ext cx="3923146" cy="871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Trendline</a:t>
          </a:r>
          <a:r>
            <a:rPr lang="en-US" sz="8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(dotted line) </a:t>
          </a:r>
          <a:r>
            <a:rPr lang="en-US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Interpretation</a:t>
          </a:r>
          <a:r>
            <a:rPr lang="en-US" sz="8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7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(range 0 to 1)</a:t>
          </a:r>
        </a:p>
        <a:p>
          <a:endParaRPr lang="en-US" sz="3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Closer to 1:</a:t>
          </a:r>
          <a:r>
            <a:rPr lang="en-US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Trendline closely aligns with the results indicating a strong linear relationship. </a:t>
          </a:r>
        </a:p>
        <a:p>
          <a:endParaRPr lang="en-US" sz="400"/>
        </a:p>
        <a:p>
          <a:r>
            <a:rPr lang="en-US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Closer to 0:</a:t>
          </a:r>
          <a:r>
            <a:rPr lang="en-US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line doesn’t explain much of the variation in the results. There is a weak or no linear relationship. Variability in concentration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or performance is present.</a:t>
          </a:r>
          <a:endParaRPr lang="en-US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4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7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R² ≥ 0.9</a:t>
          </a:r>
          <a:r>
            <a:rPr lang="en-US" sz="7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→ Excellent fit</a:t>
          </a:r>
          <a:r>
            <a:rPr lang="en-US" sz="700"/>
            <a:t> </a:t>
          </a:r>
          <a:r>
            <a:rPr lang="en-US" sz="700" baseline="0"/>
            <a:t>          </a:t>
          </a:r>
          <a:r>
            <a:rPr lang="en-US" sz="7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0.7 – 0.9</a:t>
          </a:r>
          <a:r>
            <a:rPr lang="en-US" sz="7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7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 Good fit</a:t>
          </a:r>
          <a:r>
            <a:rPr lang="en-US" sz="700"/>
            <a:t> </a:t>
          </a:r>
          <a:r>
            <a:rPr lang="en-US" sz="700" baseline="0"/>
            <a:t>         </a:t>
          </a:r>
          <a:r>
            <a:rPr lang="en-US" sz="7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0.5 – 0.7</a:t>
          </a:r>
          <a:r>
            <a:rPr lang="en-US" sz="7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→ Moderate fit</a:t>
          </a:r>
          <a:r>
            <a:rPr lang="en-US" sz="700"/>
            <a:t> </a:t>
          </a:r>
          <a:r>
            <a:rPr lang="en-US" sz="700" baseline="0"/>
            <a:t>        </a:t>
          </a:r>
          <a:r>
            <a:rPr lang="en-US" sz="7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 0.5</a:t>
          </a:r>
          <a:r>
            <a:rPr lang="en-US" sz="7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→ Weak fit</a:t>
          </a:r>
          <a:r>
            <a:rPr lang="en-US" sz="700"/>
            <a:t> </a:t>
          </a:r>
        </a:p>
      </xdr:txBody>
    </xdr:sp>
    <xdr:clientData/>
  </xdr:twoCellAnchor>
  <xdr:twoCellAnchor>
    <xdr:from>
      <xdr:col>14</xdr:col>
      <xdr:colOff>127001</xdr:colOff>
      <xdr:row>9</xdr:row>
      <xdr:rowOff>38100</xdr:rowOff>
    </xdr:from>
    <xdr:to>
      <xdr:col>14</xdr:col>
      <xdr:colOff>1524000</xdr:colOff>
      <xdr:row>12</xdr:row>
      <xdr:rowOff>50799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3DE50B-D386-B04E-B969-74D9F1A47B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150617</xdr:colOff>
      <xdr:row>1</xdr:row>
      <xdr:rowOff>12700</xdr:rowOff>
    </xdr:from>
    <xdr:to>
      <xdr:col>1</xdr:col>
      <xdr:colOff>901700</xdr:colOff>
      <xdr:row>1</xdr:row>
      <xdr:rowOff>608136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817" y="101600"/>
          <a:ext cx="751083" cy="595436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16</xdr:col>
      <xdr:colOff>12700</xdr:colOff>
      <xdr:row>1</xdr:row>
      <xdr:rowOff>5080</xdr:rowOff>
    </xdr:from>
    <xdr:to>
      <xdr:col>17</xdr:col>
      <xdr:colOff>0</xdr:colOff>
      <xdr:row>1</xdr:row>
      <xdr:rowOff>629412</xdr:rowOff>
    </xdr:to>
    <xdr:sp macro="" textlink="">
      <xdr:nvSpPr>
        <xdr:cNvPr id="3" name="Rounded Rectangle 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57FD9B9-18FA-5361-C8A6-776EE2ADCBA4}"/>
            </a:ext>
          </a:extLst>
        </xdr:cNvPr>
        <xdr:cNvSpPr/>
      </xdr:nvSpPr>
      <xdr:spPr>
        <a:xfrm>
          <a:off x="10231120" y="88900"/>
          <a:ext cx="1610360" cy="624332"/>
        </a:xfrm>
        <a:prstGeom prst="roundRect">
          <a:avLst/>
        </a:prstGeom>
        <a:solidFill>
          <a:schemeClr val="accent1">
            <a:lumMod val="75000"/>
          </a:schemeClr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900"/>
            <a:t>Go To</a:t>
          </a:r>
        </a:p>
        <a:p>
          <a:pPr algn="l"/>
          <a:r>
            <a:rPr lang="en-US" sz="900"/>
            <a:t>Print  Layout</a:t>
          </a:r>
        </a:p>
      </xdr:txBody>
    </xdr:sp>
    <xdr:clientData/>
  </xdr:twoCellAnchor>
  <xdr:twoCellAnchor editAs="oneCell">
    <xdr:from>
      <xdr:col>16</xdr:col>
      <xdr:colOff>1066800</xdr:colOff>
      <xdr:row>1</xdr:row>
      <xdr:rowOff>97840</xdr:rowOff>
    </xdr:from>
    <xdr:to>
      <xdr:col>16</xdr:col>
      <xdr:colOff>1535458</xdr:colOff>
      <xdr:row>1</xdr:row>
      <xdr:rowOff>563880</xdr:rowOff>
    </xdr:to>
    <xdr:pic>
      <xdr:nvPicPr>
        <xdr:cNvPr id="12" name="Pictur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EDE53E8-0AE7-C391-8661-34A0925E4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85220" y="181660"/>
          <a:ext cx="468658" cy="46604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7</xdr:col>
      <xdr:colOff>0</xdr:colOff>
      <xdr:row>16</xdr:row>
      <xdr:rowOff>25400</xdr:rowOff>
    </xdr:from>
    <xdr:to>
      <xdr:col>13</xdr:col>
      <xdr:colOff>63500</xdr:colOff>
      <xdr:row>25</xdr:row>
      <xdr:rowOff>160020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CE934182-82B3-CE48-B91C-C983C875B2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0.22327</cdr:x>
      <cdr:y>0.31176</cdr:y>
    </cdr:from>
    <cdr:to>
      <cdr:x>0.8121</cdr:x>
      <cdr:y>0.5794</cdr:y>
    </cdr:to>
    <cdr:sp macro="" textlink="Scoring!$C$22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BA01F08F-5BE0-A8FA-FC4B-FB46271BE95B}"/>
            </a:ext>
          </a:extLst>
        </cdr:cNvPr>
        <cdr:cNvSpPr txBox="1"/>
      </cdr:nvSpPr>
      <cdr:spPr>
        <a:xfrm xmlns:a="http://schemas.openxmlformats.org/drawingml/2006/main">
          <a:off x="269371" y="465226"/>
          <a:ext cx="710424" cy="3993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fld id="{8D89C265-E4AB-C84C-B716-DEF429A65566}" type="TxLink">
            <a:rPr lang="en-US" sz="1100" b="0" i="0" u="none" strike="noStrike">
              <a:solidFill>
                <a:srgbClr val="FF0000"/>
              </a:solidFill>
              <a:latin typeface="Calibri"/>
              <a:cs typeface="Calibri"/>
            </a:rPr>
            <a:pPr/>
            <a:t>82.6%</a:t>
          </a:fld>
          <a:endParaRPr lang="en-US" sz="1100" b="0">
            <a:solidFill>
              <a:srgbClr val="FF0000"/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11430</xdr:rowOff>
    </xdr:from>
    <xdr:to>
      <xdr:col>6</xdr:col>
      <xdr:colOff>0</xdr:colOff>
      <xdr:row>33</xdr:row>
      <xdr:rowOff>121920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342900</xdr:colOff>
      <xdr:row>7</xdr:row>
      <xdr:rowOff>16327</xdr:rowOff>
    </xdr:from>
    <xdr:to>
      <xdr:col>9</xdr:col>
      <xdr:colOff>342900</xdr:colOff>
      <xdr:row>11</xdr:row>
      <xdr:rowOff>127001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74082</xdr:colOff>
      <xdr:row>25</xdr:row>
      <xdr:rowOff>1</xdr:rowOff>
    </xdr:from>
    <xdr:to>
      <xdr:col>6</xdr:col>
      <xdr:colOff>0</xdr:colOff>
      <xdr:row>35</xdr:row>
      <xdr:rowOff>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25</xdr:row>
      <xdr:rowOff>38101</xdr:rowOff>
    </xdr:from>
    <xdr:to>
      <xdr:col>9</xdr:col>
      <xdr:colOff>1625600</xdr:colOff>
      <xdr:row>35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127000</xdr:colOff>
      <xdr:row>35</xdr:row>
      <xdr:rowOff>83820</xdr:rowOff>
    </xdr:from>
    <xdr:to>
      <xdr:col>11</xdr:col>
      <xdr:colOff>114300</xdr:colOff>
      <xdr:row>42</xdr:row>
      <xdr:rowOff>30480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EE81426-8184-A84A-B574-29FE1AA1AC70}"/>
            </a:ext>
          </a:extLst>
        </xdr:cNvPr>
        <xdr:cNvSpPr txBox="1"/>
      </xdr:nvSpPr>
      <xdr:spPr>
        <a:xfrm>
          <a:off x="3937000" y="6758940"/>
          <a:ext cx="3454400" cy="1196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Trendline</a:t>
          </a:r>
          <a:r>
            <a:rPr lang="en-US" sz="8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(dotted line) </a:t>
          </a:r>
          <a:r>
            <a:rPr lang="en-US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Interpretation</a:t>
          </a:r>
          <a:r>
            <a:rPr lang="en-US" sz="8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7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(range 0 to 1)</a:t>
          </a:r>
        </a:p>
        <a:p>
          <a:endParaRPr lang="en-US" sz="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Closer to 1:</a:t>
          </a:r>
          <a:r>
            <a:rPr lang="en-US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Trendline closely aligns with the results, indicating a strong  relationship. </a:t>
          </a:r>
        </a:p>
        <a:p>
          <a:endParaRPr lang="en-US" sz="400"/>
        </a:p>
        <a:p>
          <a:r>
            <a:rPr lang="en-US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Closer to 0:</a:t>
          </a:r>
          <a:r>
            <a:rPr lang="en-US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line doesn’t explain much of the variation in the results. There is a weak or no linear relationship. Variability in concentration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or performance is present.</a:t>
          </a:r>
        </a:p>
        <a:p>
          <a:r>
            <a:rPr lang="en-US" sz="8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</a:t>
          </a:r>
          <a:r>
            <a:rPr lang="en-US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R² Interpretation</a:t>
          </a:r>
          <a:endParaRPr lang="en-US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7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≥ 0.9</a:t>
          </a:r>
          <a:r>
            <a:rPr lang="en-US" sz="7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→ Excellent fit</a:t>
          </a:r>
          <a:r>
            <a:rPr lang="en-US" sz="700"/>
            <a:t> </a:t>
          </a:r>
          <a:r>
            <a:rPr lang="en-US" sz="700" baseline="0"/>
            <a:t>     </a:t>
          </a:r>
          <a:r>
            <a:rPr lang="en-US" sz="7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0.7 – 0.89</a:t>
          </a:r>
          <a:r>
            <a:rPr lang="en-US" sz="7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7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 Good fit</a:t>
          </a:r>
          <a:r>
            <a:rPr lang="en-US" sz="700"/>
            <a:t> </a:t>
          </a:r>
          <a:r>
            <a:rPr lang="en-US" sz="700" baseline="0"/>
            <a:t>    </a:t>
          </a:r>
          <a:r>
            <a:rPr lang="en-US" sz="7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0.5 – 0.69</a:t>
          </a:r>
          <a:r>
            <a:rPr lang="en-US" sz="7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→ Moderate fit</a:t>
          </a:r>
          <a:r>
            <a:rPr lang="en-US" sz="700"/>
            <a:t> </a:t>
          </a:r>
          <a:r>
            <a:rPr lang="en-US" sz="700" baseline="0"/>
            <a:t>   </a:t>
          </a:r>
          <a:r>
            <a:rPr lang="en-US" sz="7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 0.5</a:t>
          </a:r>
          <a:r>
            <a:rPr lang="en-US" sz="7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→ Weak</a:t>
          </a:r>
          <a:endParaRPr lang="en-US" sz="700"/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0.19695</cdr:x>
      <cdr:y>0.40396</cdr:y>
    </cdr:from>
    <cdr:to>
      <cdr:x>0.78578</cdr:x>
      <cdr:y>0.6716</cdr:y>
    </cdr:to>
    <cdr:sp macro="" textlink="'Print Results'!$C$21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BA01F08F-5BE0-A8FA-FC4B-FB46271BE95B}"/>
            </a:ext>
          </a:extLst>
        </cdr:cNvPr>
        <cdr:cNvSpPr txBox="1"/>
      </cdr:nvSpPr>
      <cdr:spPr>
        <a:xfrm xmlns:a="http://schemas.openxmlformats.org/drawingml/2006/main">
          <a:off x="268888" y="500206"/>
          <a:ext cx="803900" cy="3314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fld id="{8D89C265-E4AB-C84C-B716-DEF429A65566}" type="TxLink">
            <a:rPr lang="en-US" sz="1000" b="0" i="0" u="none" strike="noStrike">
              <a:solidFill>
                <a:srgbClr val="FF0000"/>
              </a:solidFill>
              <a:latin typeface="Calibri"/>
              <a:cs typeface="Calibri"/>
            </a:rPr>
            <a:pPr/>
            <a:t>82.6%</a:t>
          </a:fld>
          <a:endParaRPr lang="en-US" sz="1000" b="0">
            <a:solidFill>
              <a:srgbClr val="FF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greenbergg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0F3FA"/>
  </sheetPr>
  <dimension ref="A1:AB106"/>
  <sheetViews>
    <sheetView showGridLines="0" tabSelected="1" zoomScaleNormal="100" zoomScalePageLayoutView="150" workbookViewId="0">
      <selection activeCell="B4" sqref="B4:D4"/>
    </sheetView>
  </sheetViews>
  <sheetFormatPr baseColWidth="10" defaultColWidth="8.59765625" defaultRowHeight="12" x14ac:dyDescent="0.15"/>
  <cols>
    <col min="1" max="1" width="1.19921875" style="9" customWidth="1"/>
    <col min="2" max="2" width="18.59765625" customWidth="1"/>
    <col min="3" max="3" width="9" customWidth="1"/>
    <col min="4" max="4" width="13" customWidth="1"/>
    <col min="5" max="5" width="14.796875" customWidth="1"/>
    <col min="6" max="6" width="13.796875" customWidth="1"/>
    <col min="7" max="7" width="15" customWidth="1"/>
    <col min="8" max="8" width="16.19921875" customWidth="1"/>
    <col min="9" max="9" width="1.3984375" customWidth="1"/>
    <col min="10" max="10" width="1.19921875" customWidth="1"/>
    <col min="11" max="11" width="11.796875" customWidth="1"/>
    <col min="12" max="12" width="5.19921875" customWidth="1"/>
    <col min="13" max="13" width="9" customWidth="1"/>
    <col min="14" max="14" width="5" customWidth="1"/>
    <col min="15" max="15" width="27.3984375" customWidth="1"/>
    <col min="16" max="16" width="5" customWidth="1"/>
    <col min="17" max="17" width="26.59765625" customWidth="1"/>
    <col min="18" max="18" width="2.19921875" customWidth="1"/>
    <col min="19" max="19" width="6" customWidth="1"/>
    <col min="20" max="20" width="1.59765625" customWidth="1"/>
  </cols>
  <sheetData>
    <row r="1" spans="2:23" ht="7" customHeight="1" x14ac:dyDescent="0.15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236"/>
    </row>
    <row r="2" spans="2:23" ht="50" customHeight="1" x14ac:dyDescent="0.15">
      <c r="B2" s="400" t="s">
        <v>128</v>
      </c>
      <c r="C2" s="477" t="s">
        <v>129</v>
      </c>
      <c r="D2" s="477"/>
      <c r="E2" s="477"/>
      <c r="F2" s="477"/>
      <c r="G2" s="499" t="str">
        <f>"Test results for " &amp;B4</f>
        <v>Test results for Sam Sample</v>
      </c>
      <c r="H2" s="499"/>
      <c r="I2" s="499"/>
      <c r="J2" s="499"/>
      <c r="K2" s="499"/>
      <c r="L2" s="438" t="str">
        <f>E4</f>
        <v>7.1.26</v>
      </c>
      <c r="M2" s="438"/>
      <c r="O2" s="401" t="s">
        <v>132</v>
      </c>
      <c r="P2" s="104"/>
      <c r="Q2" s="359"/>
    </row>
    <row r="3" spans="2:23" ht="6" customHeight="1" x14ac:dyDescent="0.25">
      <c r="B3" s="221"/>
      <c r="C3" s="9"/>
      <c r="D3" s="222"/>
      <c r="E3" s="222"/>
      <c r="F3" s="9"/>
      <c r="G3" s="9"/>
      <c r="H3" s="9"/>
      <c r="I3" s="9"/>
      <c r="J3" s="227"/>
      <c r="K3" s="9"/>
      <c r="L3" s="9"/>
      <c r="M3" s="9"/>
      <c r="N3" s="9"/>
      <c r="O3" s="9"/>
      <c r="P3" s="12"/>
      <c r="Q3" s="6"/>
    </row>
    <row r="4" spans="2:23" ht="18" customHeight="1" x14ac:dyDescent="0.15">
      <c r="B4" s="496" t="s">
        <v>70</v>
      </c>
      <c r="C4" s="496"/>
      <c r="D4" s="496"/>
      <c r="E4" s="228" t="s">
        <v>102</v>
      </c>
      <c r="F4" s="228">
        <v>56</v>
      </c>
      <c r="G4" s="228">
        <v>12</v>
      </c>
      <c r="H4" s="228" t="s">
        <v>65</v>
      </c>
      <c r="I4" s="440" t="s">
        <v>58</v>
      </c>
      <c r="J4" s="440"/>
      <c r="K4" s="440"/>
      <c r="L4" s="440"/>
      <c r="M4" s="440"/>
      <c r="N4" s="101"/>
      <c r="O4" s="250" t="s">
        <v>74</v>
      </c>
      <c r="P4" s="249"/>
      <c r="Q4" s="313">
        <f>'Repeat Assessments'!C14</f>
        <v>4</v>
      </c>
      <c r="S4" s="12"/>
      <c r="T4" s="12"/>
      <c r="U4" s="12"/>
      <c r="V4" s="12"/>
      <c r="W4" s="12"/>
    </row>
    <row r="5" spans="2:23" ht="16" customHeight="1" x14ac:dyDescent="0.15">
      <c r="B5" s="486" t="s">
        <v>94</v>
      </c>
      <c r="C5" s="486"/>
      <c r="D5" s="486"/>
      <c r="E5" s="160" t="s">
        <v>131</v>
      </c>
      <c r="F5" s="160" t="s">
        <v>62</v>
      </c>
      <c r="G5" s="160" t="s">
        <v>63</v>
      </c>
      <c r="H5" s="160" t="s">
        <v>64</v>
      </c>
      <c r="I5" s="441" t="s">
        <v>2</v>
      </c>
      <c r="J5" s="441"/>
      <c r="K5" s="441"/>
      <c r="L5" s="441"/>
      <c r="M5" s="441"/>
      <c r="O5" s="160" t="s">
        <v>34</v>
      </c>
      <c r="P5" s="160"/>
      <c r="Q5" s="160" t="s">
        <v>78</v>
      </c>
      <c r="R5" s="12"/>
      <c r="S5" s="12"/>
      <c r="T5" s="12"/>
      <c r="U5" s="12"/>
      <c r="V5" s="12"/>
      <c r="W5" s="12"/>
    </row>
    <row r="6" spans="2:23" s="9" customFormat="1" ht="10" customHeight="1" x14ac:dyDescent="0.15">
      <c r="B6" s="204"/>
      <c r="C6" s="204"/>
      <c r="D6" s="204"/>
      <c r="E6" s="208"/>
      <c r="F6" s="208"/>
      <c r="G6" s="208"/>
      <c r="H6" s="208"/>
      <c r="I6" s="208"/>
      <c r="J6" s="208"/>
      <c r="K6" s="208"/>
      <c r="L6" s="208"/>
      <c r="M6" s="208"/>
      <c r="R6" s="64"/>
      <c r="S6" s="64"/>
      <c r="T6" s="64"/>
      <c r="U6" s="64"/>
      <c r="V6" s="64"/>
      <c r="W6" s="64"/>
    </row>
    <row r="7" spans="2:23" ht="10" customHeight="1" x14ac:dyDescent="0.15">
      <c r="B7" s="239"/>
      <c r="C7" s="239"/>
      <c r="D7" s="239"/>
      <c r="E7" s="239"/>
      <c r="F7" s="442" t="s">
        <v>127</v>
      </c>
      <c r="G7" s="442" t="s">
        <v>141</v>
      </c>
      <c r="H7" s="239"/>
      <c r="I7" s="239"/>
      <c r="J7" s="202"/>
      <c r="K7" s="202"/>
      <c r="M7" s="165"/>
      <c r="N7" s="165"/>
      <c r="O7" s="165"/>
      <c r="P7" s="108"/>
      <c r="Q7" s="108"/>
      <c r="R7" s="12"/>
      <c r="S7" s="12"/>
      <c r="T7" s="12"/>
      <c r="U7" s="12"/>
      <c r="V7" s="12"/>
      <c r="W7" s="12"/>
    </row>
    <row r="8" spans="2:23" ht="20" customHeight="1" x14ac:dyDescent="0.15">
      <c r="B8" s="489" t="s">
        <v>108</v>
      </c>
      <c r="C8" s="490"/>
      <c r="D8" s="490"/>
      <c r="E8" s="220" t="s">
        <v>81</v>
      </c>
      <c r="F8" s="447"/>
      <c r="G8" s="442"/>
      <c r="H8" s="454" t="s">
        <v>80</v>
      </c>
      <c r="I8" s="448"/>
      <c r="J8" s="448"/>
      <c r="K8" s="448"/>
      <c r="L8" s="448"/>
      <c r="M8" s="448"/>
      <c r="N8" s="165"/>
      <c r="O8" s="225" t="s">
        <v>130</v>
      </c>
      <c r="P8" s="108"/>
      <c r="Q8" s="233" t="s">
        <v>48</v>
      </c>
      <c r="R8" s="12"/>
      <c r="S8" s="12"/>
      <c r="T8" s="12"/>
      <c r="U8" s="12"/>
      <c r="V8" s="12"/>
      <c r="W8" s="12"/>
    </row>
    <row r="9" spans="2:23" ht="1" customHeight="1" x14ac:dyDescent="0.15">
      <c r="B9" s="214"/>
      <c r="C9" s="214"/>
      <c r="D9" s="214"/>
      <c r="E9" s="112"/>
      <c r="F9" s="487"/>
      <c r="G9" s="487"/>
      <c r="H9" s="9"/>
      <c r="I9" s="202"/>
      <c r="J9" s="202"/>
      <c r="K9" s="202"/>
      <c r="L9" s="9"/>
      <c r="M9" s="165"/>
      <c r="N9" s="165"/>
      <c r="O9" s="165"/>
      <c r="P9" s="108"/>
      <c r="Q9" s="108"/>
      <c r="R9" s="12"/>
      <c r="S9" s="12"/>
      <c r="T9" s="12"/>
      <c r="U9" s="12"/>
      <c r="V9" s="12"/>
      <c r="W9" s="12"/>
    </row>
    <row r="10" spans="2:23" ht="24" customHeight="1" x14ac:dyDescent="0.15">
      <c r="B10" s="491" t="s">
        <v>144</v>
      </c>
      <c r="C10" s="491"/>
      <c r="D10" s="491"/>
      <c r="E10" s="290" t="s">
        <v>82</v>
      </c>
      <c r="F10" s="209">
        <v>15</v>
      </c>
      <c r="G10" s="210">
        <v>0</v>
      </c>
      <c r="H10" s="451">
        <f>F10/(15+G10)</f>
        <v>1</v>
      </c>
      <c r="I10" s="451"/>
      <c r="J10" s="451"/>
      <c r="K10" s="451"/>
      <c r="L10" s="451"/>
      <c r="M10" s="451"/>
      <c r="N10" s="165"/>
      <c r="O10" s="215"/>
      <c r="P10" s="108"/>
      <c r="Q10" s="449" t="str">
        <f>"An Accuracy Index of"&amp;" "&amp;TEXT(C22,"0%")&amp;" "&amp;" "&amp;"was obtained with" &amp; " " &amp;F13&amp;" "&amp;"Correct identifications out of 45 targets, with"&amp;" "&amp;G13&amp;" "&amp;"Commission errors."&amp;" This performance is classified as "&amp;O13&amp;"."</f>
        <v>An Accuracy Index of 83%  was obtained with 38 Correct identifications out of 45 targets, with 1 Commission errors. This performance is classified as Moderate Difficulty.</v>
      </c>
      <c r="R10" s="12"/>
      <c r="S10" s="12"/>
      <c r="T10" s="12"/>
      <c r="U10" s="12"/>
      <c r="V10" s="12"/>
      <c r="W10" s="12"/>
    </row>
    <row r="11" spans="2:23" ht="24" customHeight="1" x14ac:dyDescent="0.15">
      <c r="B11" s="491"/>
      <c r="C11" s="491"/>
      <c r="D11" s="491"/>
      <c r="E11" s="291" t="s">
        <v>83</v>
      </c>
      <c r="F11" s="211">
        <v>14</v>
      </c>
      <c r="G11" s="212">
        <v>0</v>
      </c>
      <c r="H11" s="451">
        <f>F11/(15+G11)</f>
        <v>0.93333333333333335</v>
      </c>
      <c r="I11" s="451"/>
      <c r="J11" s="451"/>
      <c r="K11" s="451"/>
      <c r="L11" s="451"/>
      <c r="M11" s="451"/>
      <c r="N11" s="165"/>
      <c r="O11" s="216"/>
      <c r="P11" s="108"/>
      <c r="Q11" s="450"/>
      <c r="R11" s="12"/>
      <c r="S11" s="12"/>
      <c r="T11" s="12"/>
      <c r="U11" s="12"/>
      <c r="V11" s="12"/>
      <c r="W11" s="12"/>
    </row>
    <row r="12" spans="2:23" ht="24" customHeight="1" x14ac:dyDescent="0.15">
      <c r="B12" s="491"/>
      <c r="C12" s="491"/>
      <c r="D12" s="491"/>
      <c r="E12" s="292" t="s">
        <v>84</v>
      </c>
      <c r="F12" s="410">
        <v>9</v>
      </c>
      <c r="G12" s="411">
        <v>1</v>
      </c>
      <c r="H12" s="451">
        <f>F12/(15+G12)</f>
        <v>0.5625</v>
      </c>
      <c r="I12" s="451"/>
      <c r="J12" s="451"/>
      <c r="K12" s="451"/>
      <c r="L12" s="451"/>
      <c r="M12" s="451"/>
      <c r="N12" s="165"/>
      <c r="O12" s="216"/>
      <c r="P12" s="108"/>
      <c r="Q12" s="450"/>
      <c r="R12" s="12"/>
      <c r="S12" s="12"/>
      <c r="T12" s="12"/>
      <c r="U12" s="12"/>
      <c r="V12" s="12"/>
      <c r="W12" s="12"/>
    </row>
    <row r="13" spans="2:23" ht="24" customHeight="1" x14ac:dyDescent="0.15">
      <c r="B13" s="491"/>
      <c r="C13" s="491"/>
      <c r="D13" s="491"/>
      <c r="E13" s="240" t="s">
        <v>85</v>
      </c>
      <c r="F13" s="315">
        <f>SUM(F10:F12)</f>
        <v>38</v>
      </c>
      <c r="G13" s="316">
        <f>SUM(G10:G12)</f>
        <v>1</v>
      </c>
      <c r="H13" s="452">
        <f>C22</f>
        <v>0.82608695652173914</v>
      </c>
      <c r="I13" s="453"/>
      <c r="J13" s="453"/>
      <c r="K13" s="453"/>
      <c r="L13" s="453"/>
      <c r="M13" s="453"/>
      <c r="N13" s="238"/>
      <c r="O13" s="217" t="str">
        <f>IF(F22&gt;109,"Above Average",IF(AND(F22&gt;89,F22&lt;110),"Average Performance",IF(AND(F22&gt;79,F22&lt;90),"Low Average",IF(AND(F22&gt;69,F22&lt;80),"Mild Difficulty",IF(AND(F22&gt;59,F22&lt;70),"Moderate Difficulty",IF(AND(F22&gt;49,F22&lt;60),"Moderate to Severe Difficulty",IF(F22&lt;50,"Significant Difficulty")))))))</f>
        <v>Moderate Difficulty</v>
      </c>
      <c r="P13" s="108"/>
      <c r="Q13" s="450"/>
      <c r="R13" s="12"/>
      <c r="S13" s="12"/>
      <c r="T13" s="12"/>
      <c r="U13" s="12"/>
      <c r="V13" s="12"/>
      <c r="W13" s="12"/>
    </row>
    <row r="14" spans="2:23" ht="24" customHeight="1" x14ac:dyDescent="0.15">
      <c r="B14" s="491"/>
      <c r="C14" s="491"/>
      <c r="D14" s="491"/>
      <c r="E14" s="240" t="s">
        <v>86</v>
      </c>
      <c r="F14" s="241">
        <f>F13/45</f>
        <v>0.84444444444444444</v>
      </c>
      <c r="G14" s="213"/>
      <c r="H14" s="120">
        <f>F13/(45+G13)</f>
        <v>0.82608695652173914</v>
      </c>
      <c r="I14" s="202"/>
      <c r="J14" s="202"/>
      <c r="K14" s="202"/>
      <c r="L14" s="9"/>
      <c r="M14" s="165"/>
      <c r="N14" s="299"/>
      <c r="O14" s="300" t="str">
        <f>"Score is z = "&amp;TEXT(D22,"0.00")&amp;" vs.healthy norms"</f>
        <v>Score is z = -2.22 vs.healthy norms</v>
      </c>
      <c r="P14" s="108"/>
      <c r="Q14" s="580" t="s">
        <v>118</v>
      </c>
      <c r="R14" s="12"/>
      <c r="S14" s="12"/>
      <c r="T14" s="12"/>
      <c r="U14" s="12"/>
      <c r="V14" s="12"/>
      <c r="W14" s="12"/>
    </row>
    <row r="15" spans="2:23" s="9" customFormat="1" ht="16" customHeight="1" x14ac:dyDescent="0.15">
      <c r="B15" s="203"/>
      <c r="C15" s="204"/>
      <c r="D15" s="205"/>
      <c r="E15" s="88"/>
      <c r="F15" s="102"/>
      <c r="G15" s="206"/>
      <c r="H15" s="207"/>
      <c r="I15" s="208"/>
      <c r="J15" s="208"/>
      <c r="N15" s="119"/>
      <c r="P15" s="108"/>
      <c r="Q15" s="108"/>
      <c r="R15" s="64"/>
      <c r="S15" s="64"/>
      <c r="T15" s="64"/>
      <c r="U15" s="64"/>
      <c r="V15" s="64"/>
      <c r="W15" s="64"/>
    </row>
    <row r="16" spans="2:23" ht="20" customHeight="1" x14ac:dyDescent="0.15">
      <c r="B16" s="448" t="s">
        <v>93</v>
      </c>
      <c r="C16" s="448"/>
      <c r="D16" s="448"/>
      <c r="E16" s="448"/>
      <c r="F16" s="448"/>
      <c r="H16" s="448" t="s">
        <v>76</v>
      </c>
      <c r="I16" s="448"/>
      <c r="J16" s="448"/>
      <c r="K16" s="448"/>
      <c r="L16" s="448"/>
      <c r="M16" s="448"/>
      <c r="O16" s="448" t="s">
        <v>146</v>
      </c>
      <c r="P16" s="448"/>
      <c r="Q16" s="448"/>
      <c r="R16" s="12"/>
      <c r="S16" s="12"/>
      <c r="T16" s="12"/>
      <c r="U16" s="12"/>
      <c r="V16" s="12"/>
      <c r="W16" s="12"/>
    </row>
    <row r="17" spans="1:23" ht="4" customHeight="1" x14ac:dyDescent="0.15">
      <c r="B17" s="81"/>
      <c r="C17" s="82"/>
      <c r="D17" s="82"/>
      <c r="E17" s="82"/>
      <c r="N17" s="9"/>
      <c r="O17" s="9"/>
      <c r="P17" s="108"/>
      <c r="Q17" s="108"/>
      <c r="R17" s="12"/>
      <c r="S17" s="12"/>
      <c r="T17" s="12"/>
      <c r="U17" s="12"/>
      <c r="V17" s="12"/>
      <c r="W17" s="12"/>
    </row>
    <row r="18" spans="1:23" ht="18" customHeight="1" x14ac:dyDescent="0.15">
      <c r="C18" s="161" t="s">
        <v>72</v>
      </c>
      <c r="D18" s="294" t="s">
        <v>91</v>
      </c>
      <c r="E18" s="295" t="s">
        <v>89</v>
      </c>
      <c r="F18" s="296" t="s">
        <v>88</v>
      </c>
      <c r="L18" s="156"/>
      <c r="M18" s="9"/>
      <c r="N18" s="9"/>
      <c r="O18" s="9"/>
      <c r="P18" s="223"/>
      <c r="Q18" s="108"/>
      <c r="R18" s="12"/>
      <c r="S18" s="12"/>
      <c r="T18" s="12"/>
      <c r="U18" s="12"/>
      <c r="V18" s="12"/>
      <c r="W18" s="12"/>
    </row>
    <row r="19" spans="1:23" ht="22" customHeight="1" x14ac:dyDescent="0.15">
      <c r="B19" s="347" t="s">
        <v>3</v>
      </c>
      <c r="C19" s="325">
        <f>F13</f>
        <v>38</v>
      </c>
      <c r="D19" s="326">
        <f>(F13-43.32)/2.19</f>
        <v>-2.4292237442922375</v>
      </c>
      <c r="E19" s="327">
        <f>(C19-43.3)/2.19*10+50</f>
        <v>25.799086757990878</v>
      </c>
      <c r="F19" s="328">
        <f>(C19-43.3)/2.19*15+100</f>
        <v>63.698630136986317</v>
      </c>
      <c r="G19" s="100"/>
      <c r="M19" s="9"/>
      <c r="N19" s="9"/>
      <c r="O19" s="9"/>
      <c r="P19" s="223"/>
      <c r="Q19" s="108"/>
      <c r="R19" s="12"/>
      <c r="S19" s="12"/>
      <c r="T19" s="12"/>
      <c r="U19" s="12"/>
      <c r="V19" s="12"/>
      <c r="W19" s="12"/>
    </row>
    <row r="20" spans="1:23" ht="22" customHeight="1" x14ac:dyDescent="0.15">
      <c r="B20" s="348" t="s">
        <v>4</v>
      </c>
      <c r="C20" s="329">
        <f>G13</f>
        <v>1</v>
      </c>
      <c r="D20" s="330">
        <f>(-G13-0.45)/0.65</f>
        <v>-2.2307692307692308</v>
      </c>
      <c r="E20" s="331">
        <f>(-C20-0.45)/0.65*10+50</f>
        <v>27.692307692307693</v>
      </c>
      <c r="F20" s="328">
        <f>(-C20-0.45)/0.65*15+100</f>
        <v>66.538461538461547</v>
      </c>
      <c r="G20" s="100"/>
      <c r="L20" s="137"/>
      <c r="M20" s="9"/>
      <c r="N20" s="9"/>
      <c r="O20" s="9"/>
      <c r="P20" s="223"/>
      <c r="R20" s="12"/>
      <c r="S20" s="12"/>
      <c r="T20" s="12"/>
      <c r="U20" s="12"/>
      <c r="V20" s="12"/>
      <c r="W20" s="12"/>
    </row>
    <row r="21" spans="1:23" s="16" customFormat="1" ht="4" customHeight="1" x14ac:dyDescent="0.15">
      <c r="A21" s="76"/>
      <c r="G21" s="407"/>
      <c r="L21" s="408"/>
      <c r="M21" s="76"/>
      <c r="N21" s="76"/>
      <c r="O21" s="76"/>
      <c r="P21" s="409"/>
    </row>
    <row r="22" spans="1:23" ht="22" customHeight="1" x14ac:dyDescent="0.15">
      <c r="B22" s="344" t="s">
        <v>90</v>
      </c>
      <c r="C22" s="403">
        <f>F13/(45+G13)</f>
        <v>0.82608695652173914</v>
      </c>
      <c r="D22" s="404">
        <f>(C22-95.16%)/5.65%</f>
        <v>-2.2214697960754135</v>
      </c>
      <c r="E22" s="405">
        <f>(C22-95.16%)/5.65%*10+50</f>
        <v>27.785302039245863</v>
      </c>
      <c r="F22" s="406">
        <f>(C22-95.16%)/5.65%*15+100</f>
        <v>66.677953058868795</v>
      </c>
      <c r="G22" s="100"/>
      <c r="M22" s="9"/>
      <c r="N22" s="9"/>
      <c r="O22" s="9"/>
      <c r="P22" s="224"/>
      <c r="Q22" s="108"/>
      <c r="R22" s="12"/>
      <c r="S22" s="12"/>
      <c r="T22" s="12"/>
      <c r="U22" s="12"/>
      <c r="V22" s="12"/>
      <c r="W22" s="12"/>
    </row>
    <row r="23" spans="1:23" ht="12" customHeight="1" x14ac:dyDescent="0.15">
      <c r="B23" s="458" t="s">
        <v>143</v>
      </c>
      <c r="C23" s="458"/>
      <c r="D23" s="458"/>
      <c r="E23" s="458"/>
      <c r="F23" s="459"/>
      <c r="M23" s="9"/>
      <c r="N23" s="9"/>
      <c r="O23" s="9"/>
      <c r="P23" s="223"/>
      <c r="Q23" s="108"/>
      <c r="R23" s="12"/>
      <c r="S23" s="12"/>
      <c r="T23" s="12"/>
      <c r="U23" s="12"/>
      <c r="V23" s="12"/>
      <c r="W23" s="12"/>
    </row>
    <row r="24" spans="1:23" x14ac:dyDescent="0.15">
      <c r="B24" s="460"/>
      <c r="C24" s="460"/>
      <c r="D24" s="460"/>
      <c r="E24" s="460"/>
      <c r="F24" s="461"/>
      <c r="M24" s="9"/>
      <c r="N24" s="9"/>
      <c r="O24" s="9"/>
      <c r="P24" s="223"/>
      <c r="Q24" s="108"/>
      <c r="R24" s="12"/>
      <c r="S24" s="12"/>
      <c r="T24" s="12"/>
      <c r="U24" s="12"/>
      <c r="V24" s="12"/>
      <c r="W24" s="12"/>
    </row>
    <row r="25" spans="1:23" x14ac:dyDescent="0.15">
      <c r="B25" s="460"/>
      <c r="C25" s="460"/>
      <c r="D25" s="460"/>
      <c r="E25" s="460"/>
      <c r="F25" s="461"/>
      <c r="M25" s="9"/>
      <c r="N25" s="9"/>
      <c r="O25" s="9"/>
      <c r="P25" s="108"/>
      <c r="Q25" s="108"/>
      <c r="R25" s="12"/>
      <c r="S25" s="12"/>
      <c r="T25" s="12"/>
      <c r="U25" s="12"/>
      <c r="V25" s="12"/>
      <c r="W25" s="12"/>
    </row>
    <row r="26" spans="1:23" ht="13" customHeight="1" x14ac:dyDescent="0.15">
      <c r="B26" s="456" t="s">
        <v>92</v>
      </c>
      <c r="C26" s="456"/>
      <c r="D26" s="456"/>
      <c r="E26" s="456"/>
      <c r="F26" s="457"/>
      <c r="G26" s="219"/>
      <c r="N26" s="9"/>
      <c r="O26" s="9"/>
      <c r="P26" s="108"/>
      <c r="Q26" s="108"/>
      <c r="R26" s="12"/>
      <c r="S26" s="12"/>
      <c r="T26" s="12"/>
      <c r="U26" s="12"/>
      <c r="V26" s="12"/>
      <c r="W26" s="12"/>
    </row>
    <row r="27" spans="1:23" x14ac:dyDescent="0.15">
      <c r="B27" s="155"/>
      <c r="D27" s="155"/>
      <c r="E27" s="155"/>
      <c r="F27" s="155"/>
      <c r="H27" s="439" t="s">
        <v>136</v>
      </c>
      <c r="I27" s="439"/>
      <c r="J27" s="439"/>
      <c r="K27" s="439"/>
      <c r="L27" s="439"/>
      <c r="M27" s="439"/>
      <c r="N27" s="9"/>
      <c r="O27" s="9"/>
      <c r="P27" s="108"/>
      <c r="Q27" s="108"/>
      <c r="R27" s="12"/>
      <c r="S27" s="12"/>
      <c r="T27" s="12"/>
      <c r="U27" s="12"/>
      <c r="V27" s="12"/>
      <c r="W27" s="12"/>
    </row>
    <row r="28" spans="1:23" ht="42" customHeight="1" x14ac:dyDescent="0.15">
      <c r="B28" s="155"/>
      <c r="C28" s="155"/>
      <c r="D28" s="155"/>
      <c r="E28" s="155"/>
      <c r="F28" s="155"/>
      <c r="H28" s="306"/>
      <c r="I28" s="242"/>
      <c r="J28" s="282"/>
      <c r="K28" s="312"/>
      <c r="L28" s="312"/>
      <c r="M28" s="9"/>
      <c r="N28" s="9"/>
      <c r="O28" s="9"/>
      <c r="P28" s="108"/>
      <c r="Q28" s="108"/>
      <c r="R28" s="12"/>
      <c r="S28" s="12"/>
      <c r="T28" s="12"/>
      <c r="U28" s="12"/>
      <c r="V28" s="12"/>
      <c r="W28" s="12"/>
    </row>
    <row r="29" spans="1:23" ht="20" customHeight="1" x14ac:dyDescent="0.15">
      <c r="B29" s="488" t="s">
        <v>126</v>
      </c>
      <c r="C29" s="488"/>
      <c r="D29" s="488"/>
      <c r="E29" s="488"/>
      <c r="F29" s="488"/>
      <c r="G29" s="488"/>
      <c r="H29" s="64"/>
      <c r="I29" s="9"/>
      <c r="J29" s="443" t="s">
        <v>140</v>
      </c>
      <c r="K29" s="444"/>
      <c r="L29" s="444"/>
      <c r="M29" s="444"/>
      <c r="N29" s="444"/>
      <c r="O29" s="445"/>
      <c r="P29" s="108"/>
      <c r="Q29" s="108"/>
      <c r="R29" s="12"/>
      <c r="S29" s="12"/>
      <c r="T29" s="12"/>
      <c r="U29" s="12"/>
      <c r="V29" s="12"/>
      <c r="W29" s="12"/>
    </row>
    <row r="30" spans="1:23" s="16" customFormat="1" ht="4" customHeight="1" x14ac:dyDescent="0.15">
      <c r="A30" s="76"/>
      <c r="B30" s="155"/>
      <c r="C30" s="155"/>
      <c r="D30" s="155"/>
      <c r="E30" s="155"/>
      <c r="F30" s="155"/>
      <c r="H30" s="76"/>
      <c r="I30" s="76"/>
      <c r="J30" s="76"/>
      <c r="K30" s="76"/>
      <c r="L30" s="76"/>
      <c r="M30" s="76"/>
      <c r="N30" s="76"/>
      <c r="O30" s="76"/>
      <c r="P30" s="218"/>
      <c r="Q30" s="218"/>
    </row>
    <row r="31" spans="1:23" ht="21" customHeight="1" x14ac:dyDescent="0.15">
      <c r="B31" s="119"/>
      <c r="C31" s="446" t="s">
        <v>66</v>
      </c>
      <c r="D31" s="446"/>
      <c r="E31" s="446" t="s">
        <v>60</v>
      </c>
      <c r="F31" s="446"/>
      <c r="G31" s="446"/>
      <c r="H31" s="64"/>
      <c r="I31" s="30"/>
      <c r="J31" s="462" t="s">
        <v>145</v>
      </c>
      <c r="K31" s="463"/>
      <c r="L31" s="463"/>
      <c r="M31" s="463"/>
      <c r="N31" s="463"/>
      <c r="O31" s="464"/>
      <c r="P31" s="108"/>
      <c r="Q31" s="455"/>
      <c r="R31" s="12"/>
      <c r="S31" s="12"/>
      <c r="T31" s="12"/>
      <c r="U31" s="12"/>
      <c r="V31" s="12"/>
      <c r="W31" s="12"/>
    </row>
    <row r="32" spans="1:23" ht="16" customHeight="1" x14ac:dyDescent="0.15">
      <c r="A32" s="201"/>
      <c r="B32" s="201" t="s">
        <v>59</v>
      </c>
      <c r="C32" s="497" t="s">
        <v>16</v>
      </c>
      <c r="D32" s="498"/>
      <c r="E32" s="483" t="str">
        <f>IF(C33&gt;100%,"Value entered is over 100%",IF(AND(C35&gt;-9%,C35&lt;11%),"Subject estimates performance within +/- 10%",IF(C35&gt;9%,"Over-estimates ability","Under-estimates ability")))</f>
        <v>Under-estimates ability</v>
      </c>
      <c r="F32" s="484"/>
      <c r="G32" s="485"/>
      <c r="H32" s="64"/>
      <c r="I32" s="9"/>
      <c r="J32" s="435"/>
      <c r="K32" s="435"/>
      <c r="L32" s="435"/>
      <c r="M32" s="435"/>
      <c r="N32" s="435"/>
      <c r="O32" s="435"/>
      <c r="P32" s="108"/>
      <c r="Q32" s="455"/>
      <c r="R32" s="12"/>
      <c r="S32" s="12"/>
      <c r="T32" s="12"/>
      <c r="U32" s="12"/>
      <c r="V32" s="12"/>
      <c r="W32" s="12"/>
    </row>
    <row r="33" spans="2:23" ht="16" customHeight="1" x14ac:dyDescent="0.15">
      <c r="B33" s="25" t="s">
        <v>57</v>
      </c>
      <c r="C33" s="493">
        <v>0.5</v>
      </c>
      <c r="D33" s="494"/>
      <c r="E33" s="478" t="str">
        <f>IF(E32="","",IF(E32="Over-estimates ability","Over-estimated performance may indicate poor awareness of ability",IF(E32="Under-estimates ability","Under-estimated performance may indicate poor awareness of ability or low mood.","Subject displays good ability to judge their cognitive performance.")))</f>
        <v>Under-estimated performance may indicate poor awareness of ability or low mood.</v>
      </c>
      <c r="F33" s="479"/>
      <c r="G33" s="480"/>
      <c r="H33" s="64"/>
      <c r="I33" s="9"/>
      <c r="J33" s="468" t="s">
        <v>44</v>
      </c>
      <c r="K33" s="468"/>
      <c r="L33" s="581"/>
      <c r="M33" s="582" t="str">
        <f>'Set Up Other Group Data'!C6</f>
        <v>My group</v>
      </c>
      <c r="N33" s="583"/>
      <c r="O33" s="584"/>
      <c r="P33" s="9"/>
      <c r="Q33" s="9"/>
      <c r="R33" s="12"/>
      <c r="S33" s="12"/>
      <c r="T33" s="12"/>
      <c r="U33" s="12"/>
      <c r="V33" s="12"/>
      <c r="W33" s="12"/>
    </row>
    <row r="34" spans="2:23" ht="16" customHeight="1" thickBot="1" x14ac:dyDescent="0.2">
      <c r="B34" s="93" t="s">
        <v>135</v>
      </c>
      <c r="C34" s="495">
        <f>F14</f>
        <v>0.84444444444444444</v>
      </c>
      <c r="D34" s="495"/>
      <c r="E34" s="478"/>
      <c r="F34" s="479"/>
      <c r="G34" s="480"/>
      <c r="H34" s="200"/>
      <c r="I34" s="9"/>
      <c r="J34" s="293" t="s">
        <v>36</v>
      </c>
      <c r="K34" s="13"/>
      <c r="M34" s="26" t="s">
        <v>37</v>
      </c>
      <c r="N34" s="26" t="s">
        <v>38</v>
      </c>
      <c r="P34" s="9"/>
      <c r="Q34" s="9"/>
      <c r="R34" s="12"/>
      <c r="S34" s="12"/>
      <c r="T34" s="12"/>
      <c r="U34" s="12"/>
      <c r="V34" s="12"/>
      <c r="W34" s="12"/>
    </row>
    <row r="35" spans="2:23" ht="16" customHeight="1" thickBot="1" x14ac:dyDescent="0.2">
      <c r="B35" s="427" t="s">
        <v>19</v>
      </c>
      <c r="C35" s="492">
        <f>C33-C34</f>
        <v>-0.34444444444444444</v>
      </c>
      <c r="D35" s="492"/>
      <c r="E35" s="481"/>
      <c r="F35" s="481"/>
      <c r="G35" s="482"/>
      <c r="H35" s="64"/>
      <c r="I35" s="9"/>
      <c r="J35" s="470" t="s">
        <v>3</v>
      </c>
      <c r="K35" s="470"/>
      <c r="L35" s="9"/>
      <c r="M35" s="428" t="str">
        <f>IF('Set Up Other Group Data'!O12=0,"",'Set Up Other Group Data'!O12)</f>
        <v/>
      </c>
      <c r="N35" s="429" t="str">
        <f>'Set Up Other Group Data'!P12</f>
        <v/>
      </c>
      <c r="O35" s="471" t="str">
        <f>IF('Set Up Other Group Data'!E10="","No data entered for other comparison group",'Set Up Other Group Data'!O14)</f>
        <v>No data entered for other comparison group</v>
      </c>
      <c r="P35" s="9"/>
      <c r="Q35" s="9"/>
      <c r="R35" s="12"/>
      <c r="S35" s="12"/>
      <c r="T35" s="12"/>
      <c r="U35" s="12"/>
      <c r="V35" s="12"/>
      <c r="W35" s="12"/>
    </row>
    <row r="36" spans="2:23" ht="16" customHeight="1" thickBot="1" x14ac:dyDescent="0.2">
      <c r="E36" s="378"/>
      <c r="F36" s="378"/>
      <c r="G36" s="378"/>
      <c r="H36" s="64"/>
      <c r="I36" s="9"/>
      <c r="J36" s="469" t="s">
        <v>4</v>
      </c>
      <c r="K36" s="469"/>
      <c r="M36" s="430" t="str">
        <f>'Set Up Other Group Data'!O13</f>
        <v/>
      </c>
      <c r="N36" s="429" t="str">
        <f>'Set Up Other Group Data'!P13</f>
        <v/>
      </c>
      <c r="O36" s="471"/>
      <c r="P36" s="9"/>
      <c r="Q36" s="9"/>
      <c r="R36" s="12"/>
      <c r="S36" s="12"/>
      <c r="T36" s="12"/>
      <c r="U36" s="12"/>
      <c r="V36" s="12"/>
      <c r="W36" s="12"/>
    </row>
    <row r="37" spans="2:23" ht="16" customHeight="1" x14ac:dyDescent="0.15">
      <c r="E37" s="378"/>
      <c r="F37" s="378"/>
      <c r="G37" s="378"/>
      <c r="H37" s="64"/>
      <c r="I37" s="157"/>
      <c r="J37" s="469" t="s">
        <v>5</v>
      </c>
      <c r="K37" s="469"/>
      <c r="M37" s="431" t="str">
        <f>'Set Up Other Group Data'!O14</f>
        <v/>
      </c>
      <c r="N37" s="432" t="str">
        <f>'Set Up Other Group Data'!P14</f>
        <v/>
      </c>
      <c r="O37" s="471"/>
      <c r="P37" s="9"/>
      <c r="Q37" s="9"/>
      <c r="R37" s="12"/>
      <c r="S37" s="12"/>
      <c r="T37" s="12"/>
      <c r="U37" s="12"/>
      <c r="V37" s="12"/>
      <c r="W37" s="12"/>
    </row>
    <row r="38" spans="2:23" ht="16" customHeight="1" x14ac:dyDescent="0.15">
      <c r="B38" s="9"/>
      <c r="C38" s="62"/>
      <c r="D38" s="9"/>
      <c r="E38" s="9"/>
      <c r="F38" s="9"/>
      <c r="G38" s="9"/>
      <c r="H38" s="64"/>
      <c r="I38" s="64"/>
      <c r="J38" s="468" t="s">
        <v>79</v>
      </c>
      <c r="K38" s="468"/>
      <c r="L38" s="237" t="s">
        <v>87</v>
      </c>
      <c r="M38" s="475" t="str">
        <f>IF(M35="","",(C22-M37)/N37)</f>
        <v/>
      </c>
      <c r="N38" s="476"/>
      <c r="O38" s="471"/>
      <c r="P38" s="9"/>
      <c r="Q38" s="9"/>
      <c r="R38" s="12"/>
      <c r="S38" s="12"/>
      <c r="T38" s="12"/>
      <c r="U38" s="12"/>
      <c r="V38" s="12"/>
      <c r="W38" s="12"/>
    </row>
    <row r="39" spans="2:23" ht="16" customHeight="1" x14ac:dyDescent="0.15">
      <c r="B39" s="9"/>
      <c r="C39" s="62"/>
      <c r="D39" s="9"/>
      <c r="E39" s="9"/>
      <c r="F39" s="64"/>
      <c r="G39" s="64"/>
      <c r="H39" s="62"/>
      <c r="I39" s="64"/>
      <c r="P39" s="9"/>
      <c r="Q39" s="9"/>
      <c r="R39" s="12"/>
      <c r="S39" s="12"/>
      <c r="T39" s="12"/>
      <c r="U39" s="12"/>
      <c r="V39" s="12"/>
      <c r="W39" s="12"/>
    </row>
    <row r="40" spans="2:23" s="9" customFormat="1" ht="14" customHeight="1" x14ac:dyDescent="0.15">
      <c r="C40" s="62"/>
      <c r="F40" s="64"/>
      <c r="G40" s="64"/>
      <c r="H40" s="62"/>
      <c r="I40" s="64"/>
      <c r="J40" s="126"/>
      <c r="M40" s="30"/>
      <c r="N40" s="465"/>
      <c r="O40" s="465"/>
      <c r="P40" s="108"/>
      <c r="Q40" s="108"/>
      <c r="R40" s="64"/>
      <c r="S40" s="64"/>
      <c r="T40" s="64"/>
      <c r="U40" s="64"/>
      <c r="V40" s="64"/>
      <c r="W40" s="64"/>
    </row>
    <row r="41" spans="2:23" s="9" customFormat="1" ht="14" customHeight="1" x14ac:dyDescent="0.15">
      <c r="C41" s="62"/>
      <c r="F41" s="64"/>
      <c r="G41" s="64"/>
      <c r="H41" s="62"/>
      <c r="I41" s="64"/>
      <c r="J41" s="126"/>
      <c r="M41" s="25"/>
      <c r="Q41" s="108"/>
      <c r="R41" s="64"/>
      <c r="S41" s="64"/>
      <c r="T41" s="64"/>
      <c r="U41" s="64"/>
      <c r="V41" s="64"/>
      <c r="W41" s="64"/>
    </row>
    <row r="42" spans="2:23" s="9" customFormat="1" ht="14" customHeight="1" x14ac:dyDescent="0.15">
      <c r="C42" s="62"/>
      <c r="F42" s="64"/>
      <c r="G42" s="64"/>
      <c r="H42" s="62"/>
      <c r="I42" s="64"/>
      <c r="J42" s="126"/>
      <c r="Q42" s="108"/>
      <c r="R42" s="64"/>
      <c r="S42" s="64"/>
      <c r="T42" s="64"/>
      <c r="U42" s="64"/>
      <c r="V42" s="64"/>
      <c r="W42" s="64"/>
    </row>
    <row r="43" spans="2:23" s="9" customFormat="1" ht="14" customHeight="1" x14ac:dyDescent="0.15">
      <c r="C43" s="62"/>
      <c r="F43" s="64"/>
      <c r="G43" s="64"/>
      <c r="H43" s="62"/>
      <c r="I43" s="64"/>
      <c r="J43" s="126"/>
      <c r="Q43" s="108"/>
      <c r="R43" s="64"/>
      <c r="S43" s="64"/>
      <c r="T43" s="64"/>
      <c r="U43" s="64"/>
      <c r="V43" s="64"/>
      <c r="W43" s="64"/>
    </row>
    <row r="44" spans="2:23" s="9" customFormat="1" ht="14" customHeight="1" x14ac:dyDescent="0.15">
      <c r="C44" s="62"/>
      <c r="F44" s="64"/>
      <c r="G44" s="64"/>
      <c r="H44" s="62"/>
      <c r="I44" s="64"/>
      <c r="J44" s="126"/>
      <c r="Q44" s="108"/>
      <c r="R44" s="64"/>
      <c r="S44" s="64"/>
      <c r="T44" s="64"/>
      <c r="U44" s="64"/>
      <c r="V44" s="64"/>
      <c r="W44" s="64"/>
    </row>
    <row r="45" spans="2:23" s="9" customFormat="1" ht="13" customHeight="1" x14ac:dyDescent="0.15">
      <c r="C45" s="62"/>
      <c r="F45" s="64"/>
      <c r="G45" s="64"/>
      <c r="H45" s="62"/>
      <c r="I45" s="177"/>
      <c r="J45" s="126"/>
      <c r="Q45" s="108"/>
      <c r="R45" s="64"/>
      <c r="S45" s="64"/>
      <c r="T45" s="64"/>
      <c r="U45" s="64"/>
      <c r="V45" s="64"/>
      <c r="W45" s="64"/>
    </row>
    <row r="46" spans="2:23" s="9" customFormat="1" ht="8.5" customHeight="1" x14ac:dyDescent="0.15">
      <c r="M46" s="58"/>
      <c r="Q46" s="108"/>
      <c r="R46" s="64"/>
      <c r="S46" s="64"/>
      <c r="T46" s="64"/>
      <c r="U46" s="64"/>
      <c r="V46" s="64"/>
      <c r="W46" s="64"/>
    </row>
    <row r="47" spans="2:23" s="9" customFormat="1" x14ac:dyDescent="0.15">
      <c r="F47" s="108"/>
      <c r="G47" s="467"/>
      <c r="H47" s="467"/>
      <c r="I47" s="467"/>
      <c r="J47" s="467"/>
      <c r="K47" s="467"/>
      <c r="M47" s="119"/>
      <c r="Q47" s="108"/>
      <c r="R47" s="64"/>
      <c r="S47" s="64"/>
      <c r="T47" s="64"/>
      <c r="U47" s="64"/>
      <c r="V47" s="64"/>
      <c r="W47" s="64"/>
    </row>
    <row r="48" spans="2:23" s="9" customFormat="1" ht="5" customHeight="1" x14ac:dyDescent="0.15">
      <c r="I48" s="253"/>
      <c r="J48" s="143"/>
      <c r="P48" s="108"/>
      <c r="Q48" s="127"/>
      <c r="R48" s="64"/>
      <c r="S48" s="64"/>
      <c r="T48" s="64"/>
      <c r="U48" s="64"/>
      <c r="V48" s="64"/>
    </row>
    <row r="49" spans="2:28" s="9" customFormat="1" x14ac:dyDescent="0.15">
      <c r="G49" s="254"/>
      <c r="I49" s="143"/>
      <c r="J49" s="143"/>
      <c r="K49" s="119"/>
      <c r="L49" s="119"/>
      <c r="O49" s="51"/>
      <c r="P49" s="127"/>
      <c r="Q49" s="127"/>
      <c r="R49" s="64"/>
      <c r="S49" s="64"/>
      <c r="T49" s="64"/>
      <c r="U49" s="64"/>
      <c r="V49" s="64"/>
    </row>
    <row r="50" spans="2:28" s="9" customFormat="1" ht="6" customHeight="1" x14ac:dyDescent="0.15">
      <c r="B50" s="135"/>
      <c r="C50" s="135"/>
      <c r="D50" s="135"/>
      <c r="E50" s="135"/>
      <c r="G50" s="255"/>
      <c r="I50" s="143"/>
      <c r="J50" s="143"/>
      <c r="K50" s="119"/>
      <c r="L50" s="119"/>
      <c r="O50" s="51"/>
      <c r="P50" s="127"/>
      <c r="Q50" s="127"/>
      <c r="R50" s="64"/>
      <c r="S50" s="64"/>
      <c r="T50" s="64"/>
      <c r="U50" s="64"/>
      <c r="V50" s="64"/>
    </row>
    <row r="51" spans="2:28" s="9" customFormat="1" ht="15" customHeight="1" x14ac:dyDescent="0.15">
      <c r="G51" s="254"/>
      <c r="I51" s="143"/>
      <c r="J51" s="256"/>
      <c r="K51" s="257"/>
      <c r="L51" s="133"/>
      <c r="M51" s="466"/>
      <c r="N51" s="466"/>
      <c r="O51" s="466"/>
      <c r="Q51" s="258"/>
      <c r="R51" s="64"/>
      <c r="S51" s="64"/>
      <c r="T51" s="64"/>
      <c r="U51" s="64"/>
      <c r="V51" s="64"/>
    </row>
    <row r="52" spans="2:28" s="9" customFormat="1" ht="16" customHeight="1" x14ac:dyDescent="0.15">
      <c r="G52" s="255"/>
      <c r="I52" s="143"/>
      <c r="J52" s="259"/>
      <c r="K52" s="138"/>
      <c r="L52" s="139"/>
      <c r="P52" s="260" t="s">
        <v>22</v>
      </c>
      <c r="Q52" s="261"/>
      <c r="R52" s="64"/>
      <c r="S52" s="64"/>
      <c r="T52" s="64"/>
      <c r="U52" s="64"/>
      <c r="V52" s="64"/>
    </row>
    <row r="53" spans="2:28" s="9" customFormat="1" ht="15" customHeight="1" x14ac:dyDescent="0.15">
      <c r="G53" s="113"/>
      <c r="L53" s="140"/>
      <c r="M53" s="144"/>
      <c r="P53" s="76"/>
      <c r="Q53" s="260" t="s">
        <v>24</v>
      </c>
      <c r="R53" s="64"/>
      <c r="S53" s="64"/>
      <c r="T53" s="64"/>
      <c r="U53" s="64"/>
      <c r="V53" s="64"/>
      <c r="W53" s="64"/>
    </row>
    <row r="54" spans="2:28" s="9" customFormat="1" ht="15" customHeight="1" x14ac:dyDescent="0.15">
      <c r="G54" s="244"/>
      <c r="P54" s="64"/>
      <c r="Q54" s="260" t="s">
        <v>26</v>
      </c>
      <c r="R54" s="64"/>
      <c r="S54" s="64"/>
      <c r="T54" s="64"/>
      <c r="U54" s="64"/>
      <c r="V54" s="64"/>
      <c r="W54" s="64"/>
    </row>
    <row r="55" spans="2:28" s="9" customFormat="1" ht="15" customHeight="1" x14ac:dyDescent="0.15">
      <c r="G55" s="113"/>
      <c r="N55" s="474"/>
      <c r="O55" s="474"/>
      <c r="P55" s="64"/>
      <c r="Q55" s="260" t="s">
        <v>27</v>
      </c>
      <c r="R55" s="64"/>
      <c r="S55" s="64"/>
      <c r="T55" s="64"/>
      <c r="U55" s="64"/>
      <c r="V55" s="64"/>
      <c r="W55" s="64"/>
    </row>
    <row r="56" spans="2:28" s="94" customFormat="1" ht="15" customHeight="1" x14ac:dyDescent="0.15">
      <c r="F56" s="9"/>
      <c r="G56" s="244"/>
      <c r="H56" s="9"/>
      <c r="I56" s="9"/>
      <c r="J56" s="9"/>
      <c r="K56" s="9"/>
      <c r="L56" s="63"/>
      <c r="M56" s="63"/>
      <c r="N56" s="148"/>
      <c r="O56" s="226"/>
      <c r="Q56" s="262"/>
    </row>
    <row r="57" spans="2:28" s="9" customFormat="1" ht="6" customHeight="1" x14ac:dyDescent="0.15">
      <c r="G57" s="113"/>
      <c r="N57" s="149"/>
      <c r="O57" s="150"/>
      <c r="P57" s="64"/>
      <c r="Q57" s="55"/>
      <c r="R57" s="64"/>
      <c r="S57" s="263"/>
      <c r="T57" s="64"/>
      <c r="U57" s="64"/>
      <c r="V57" s="64"/>
      <c r="W57" s="64"/>
    </row>
    <row r="58" spans="2:28" s="25" customFormat="1" ht="16.5" customHeight="1" x14ac:dyDescent="0.15">
      <c r="F58" s="9"/>
      <c r="G58" s="244"/>
      <c r="H58" s="9"/>
      <c r="I58" s="9"/>
      <c r="J58" s="9"/>
      <c r="K58" s="9"/>
      <c r="M58" s="149"/>
      <c r="O58" s="145"/>
      <c r="S58" s="18"/>
    </row>
    <row r="59" spans="2:28" s="9" customFormat="1" ht="15" customHeight="1" x14ac:dyDescent="0.15">
      <c r="F59" s="264"/>
      <c r="G59" s="113"/>
      <c r="H59" s="133"/>
      <c r="I59" s="265"/>
      <c r="J59" s="266"/>
      <c r="K59" s="266"/>
      <c r="M59" s="149"/>
      <c r="O59" s="145"/>
      <c r="P59" s="64"/>
      <c r="Q59" s="61"/>
      <c r="R59" s="64"/>
      <c r="S59" s="76"/>
      <c r="T59" s="64"/>
      <c r="U59" s="64"/>
      <c r="V59" s="64"/>
      <c r="W59" s="64"/>
      <c r="X59" s="472"/>
      <c r="Y59" s="472"/>
      <c r="Z59" s="472"/>
      <c r="AA59" s="472"/>
      <c r="AB59" s="472"/>
    </row>
    <row r="60" spans="2:28" s="9" customFormat="1" ht="15" customHeight="1" x14ac:dyDescent="0.15">
      <c r="J60" s="157"/>
      <c r="M60" s="149"/>
      <c r="O60" s="53"/>
      <c r="P60" s="64"/>
      <c r="Q60" s="61"/>
      <c r="R60" s="64"/>
      <c r="S60" s="76"/>
      <c r="T60" s="64"/>
      <c r="U60" s="64"/>
      <c r="V60" s="64"/>
      <c r="W60" s="64"/>
      <c r="X60" s="26"/>
      <c r="Y60" s="26"/>
      <c r="Z60" s="26"/>
      <c r="AA60" s="26"/>
      <c r="AB60" s="26"/>
    </row>
    <row r="61" spans="2:28" s="9" customFormat="1" ht="15" customHeight="1" x14ac:dyDescent="0.15">
      <c r="L61" s="267"/>
      <c r="M61" s="149"/>
      <c r="O61" s="152"/>
      <c r="P61" s="151"/>
      <c r="Q61" s="61"/>
      <c r="R61" s="473"/>
      <c r="S61" s="473"/>
      <c r="T61" s="473"/>
      <c r="U61" s="64"/>
      <c r="V61" s="64"/>
      <c r="W61" s="64"/>
      <c r="X61" s="27"/>
      <c r="Y61" s="28"/>
      <c r="Z61" s="28"/>
      <c r="AA61" s="28"/>
      <c r="AB61" s="28"/>
    </row>
    <row r="62" spans="2:28" s="9" customFormat="1" ht="15" customHeight="1" x14ac:dyDescent="0.15">
      <c r="O62" s="159"/>
      <c r="P62" s="56"/>
      <c r="Q62" s="61"/>
      <c r="R62" s="64"/>
      <c r="S62" s="56"/>
      <c r="T62" s="156"/>
      <c r="U62" s="64"/>
      <c r="V62" s="64"/>
      <c r="W62" s="64"/>
    </row>
    <row r="63" spans="2:28" s="9" customFormat="1" ht="16.5" customHeight="1" x14ac:dyDescent="0.15">
      <c r="B63" s="268"/>
      <c r="C63" s="268"/>
      <c r="D63" s="268"/>
      <c r="E63" s="268"/>
      <c r="F63" s="268"/>
      <c r="G63" s="269"/>
      <c r="H63" s="268"/>
      <c r="I63" s="268"/>
      <c r="N63" s="465"/>
      <c r="O63" s="465"/>
      <c r="P63" s="145"/>
      <c r="Q63" s="61"/>
      <c r="R63" s="64"/>
      <c r="S63" s="68"/>
      <c r="T63" s="18"/>
      <c r="U63" s="64"/>
      <c r="V63" s="64"/>
      <c r="W63" s="64"/>
    </row>
    <row r="64" spans="2:28" s="9" customFormat="1" ht="16.5" customHeight="1" x14ac:dyDescent="0.15">
      <c r="B64" s="270"/>
      <c r="C64" s="270"/>
      <c r="D64" s="269"/>
      <c r="E64" s="269"/>
      <c r="F64" s="270"/>
      <c r="G64" s="269"/>
      <c r="H64" s="270"/>
      <c r="I64" s="269"/>
      <c r="P64" s="145"/>
      <c r="Q64" s="271"/>
      <c r="R64" s="64"/>
      <c r="S64" s="68"/>
      <c r="T64" s="156"/>
      <c r="U64" s="64"/>
      <c r="V64" s="64"/>
      <c r="W64" s="64"/>
    </row>
    <row r="65" spans="2:23" s="9" customFormat="1" x14ac:dyDescent="0.15">
      <c r="B65" s="272"/>
      <c r="C65" s="270"/>
      <c r="D65" s="273"/>
      <c r="E65" s="273"/>
      <c r="F65" s="274"/>
      <c r="G65" s="275"/>
      <c r="H65" s="270"/>
      <c r="I65" s="243"/>
      <c r="K65" s="268"/>
      <c r="P65" s="276"/>
      <c r="Q65" s="61"/>
      <c r="R65" s="64"/>
      <c r="S65" s="68"/>
      <c r="T65" s="68"/>
      <c r="U65" s="64"/>
      <c r="V65" s="64"/>
      <c r="W65" s="64"/>
    </row>
    <row r="66" spans="2:23" s="9" customFormat="1" ht="10.5" customHeight="1" x14ac:dyDescent="0.15">
      <c r="G66" s="270"/>
      <c r="H66" s="270"/>
      <c r="I66" s="243"/>
      <c r="P66" s="64"/>
      <c r="Q66" s="55"/>
      <c r="R66" s="18"/>
      <c r="S66" s="156"/>
      <c r="T66" s="18"/>
      <c r="U66" s="64"/>
      <c r="V66" s="64"/>
      <c r="W66" s="64"/>
    </row>
    <row r="67" spans="2:23" s="9" customFormat="1" x14ac:dyDescent="0.15">
      <c r="P67" s="64"/>
      <c r="Q67" s="55"/>
      <c r="R67" s="59"/>
      <c r="S67" s="60"/>
      <c r="T67" s="58"/>
      <c r="U67" s="64"/>
      <c r="V67" s="64"/>
      <c r="W67" s="64"/>
    </row>
    <row r="68" spans="2:23" s="9" customFormat="1" x14ac:dyDescent="0.15">
      <c r="P68" s="64"/>
      <c r="Q68" s="55"/>
      <c r="R68" s="64"/>
      <c r="S68" s="64"/>
      <c r="T68" s="64"/>
      <c r="U68" s="64"/>
      <c r="V68" s="64"/>
      <c r="W68" s="64"/>
    </row>
    <row r="69" spans="2:23" s="9" customFormat="1" x14ac:dyDescent="0.15">
      <c r="G69" s="58"/>
      <c r="H69" s="58"/>
      <c r="L69" s="143"/>
      <c r="M69" s="143"/>
      <c r="N69" s="143"/>
      <c r="P69" s="64"/>
      <c r="Q69" s="55"/>
      <c r="R69" s="64"/>
      <c r="S69" s="64"/>
      <c r="T69" s="64"/>
      <c r="U69" s="64"/>
      <c r="V69" s="64"/>
      <c r="W69" s="64"/>
    </row>
    <row r="70" spans="2:23" s="9" customFormat="1" x14ac:dyDescent="0.15">
      <c r="D70" s="277"/>
      <c r="G70" s="278"/>
      <c r="H70" s="279"/>
      <c r="I70" s="280"/>
      <c r="J70" s="279"/>
      <c r="K70" s="279"/>
      <c r="L70" s="143"/>
      <c r="M70" s="143"/>
      <c r="N70" s="143"/>
      <c r="P70" s="64"/>
      <c r="Q70" s="55"/>
      <c r="R70" s="64"/>
      <c r="S70" s="64"/>
      <c r="T70" s="64"/>
      <c r="U70" s="64"/>
      <c r="V70" s="64"/>
      <c r="W70" s="64"/>
    </row>
    <row r="71" spans="2:23" s="9" customFormat="1" x14ac:dyDescent="0.15">
      <c r="D71" s="166"/>
      <c r="G71" s="281"/>
      <c r="H71" s="281"/>
      <c r="I71" s="281"/>
      <c r="J71" s="281"/>
      <c r="K71" s="281"/>
      <c r="L71" s="259"/>
      <c r="M71" s="259"/>
      <c r="N71" s="259"/>
      <c r="P71" s="64"/>
      <c r="Q71" s="55"/>
      <c r="R71" s="64"/>
      <c r="S71" s="64"/>
      <c r="T71" s="64"/>
      <c r="U71" s="64"/>
      <c r="V71" s="64"/>
      <c r="W71" s="64"/>
    </row>
    <row r="72" spans="2:23" s="9" customFormat="1" x14ac:dyDescent="0.15">
      <c r="B72" s="279"/>
      <c r="C72" s="279"/>
      <c r="D72" s="279"/>
      <c r="E72" s="279"/>
      <c r="F72" s="279"/>
      <c r="G72" s="281"/>
      <c r="H72" s="281"/>
      <c r="I72" s="281"/>
      <c r="J72" s="281"/>
      <c r="K72" s="281"/>
      <c r="L72" s="259"/>
      <c r="M72" s="259"/>
      <c r="N72" s="259"/>
      <c r="P72" s="64"/>
      <c r="Q72" s="55"/>
      <c r="R72" s="64"/>
      <c r="S72" s="64"/>
      <c r="T72" s="64"/>
      <c r="U72" s="64"/>
      <c r="V72" s="64"/>
      <c r="W72" s="64"/>
    </row>
    <row r="73" spans="2:23" x14ac:dyDescent="0.15"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5"/>
      <c r="M73" s="5"/>
      <c r="N73" s="5"/>
      <c r="P73" s="12"/>
      <c r="Q73" s="2"/>
      <c r="R73" s="12"/>
      <c r="S73" s="12"/>
      <c r="T73" s="12"/>
      <c r="U73" s="12"/>
      <c r="V73" s="12"/>
      <c r="W73" s="12"/>
    </row>
    <row r="74" spans="2:23" x14ac:dyDescent="0.15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5"/>
      <c r="M74" s="5"/>
      <c r="N74" s="5"/>
      <c r="P74" s="12"/>
      <c r="Q74" s="2"/>
      <c r="R74" s="12"/>
      <c r="S74" s="12"/>
      <c r="T74" s="12"/>
      <c r="U74" s="12"/>
      <c r="V74" s="12"/>
      <c r="W74" s="12"/>
    </row>
    <row r="75" spans="2:23" x14ac:dyDescent="0.15">
      <c r="G75" s="32"/>
      <c r="H75" s="32"/>
      <c r="I75" s="32"/>
      <c r="J75" s="32"/>
      <c r="K75" s="32"/>
      <c r="P75" s="12"/>
      <c r="Q75" s="2"/>
      <c r="R75" s="12"/>
      <c r="S75" s="12"/>
      <c r="T75" s="12"/>
      <c r="U75" s="12"/>
      <c r="V75" s="12"/>
      <c r="W75" s="12"/>
    </row>
    <row r="76" spans="2:23" x14ac:dyDescent="0.15">
      <c r="G76" s="32"/>
      <c r="H76" s="32"/>
      <c r="I76" s="32"/>
      <c r="J76" s="32"/>
      <c r="K76" s="32"/>
      <c r="P76" s="12"/>
      <c r="Q76" s="2"/>
      <c r="R76" s="12"/>
      <c r="S76" s="12"/>
      <c r="T76" s="12"/>
      <c r="U76" s="12"/>
      <c r="V76" s="12"/>
      <c r="W76" s="12"/>
    </row>
    <row r="77" spans="2:23" x14ac:dyDescent="0.15">
      <c r="G77" s="32"/>
      <c r="H77" s="32"/>
      <c r="I77" s="32"/>
      <c r="J77" s="32"/>
      <c r="K77" s="32"/>
      <c r="P77" s="12"/>
      <c r="Q77" s="2"/>
      <c r="R77" s="12"/>
      <c r="S77" s="12"/>
      <c r="T77" s="12"/>
      <c r="U77" s="12"/>
      <c r="V77" s="12"/>
      <c r="W77" s="12"/>
    </row>
    <row r="78" spans="2:23" ht="15" customHeight="1" x14ac:dyDescent="0.15">
      <c r="G78" s="32"/>
      <c r="H78" s="32"/>
      <c r="I78" s="32"/>
      <c r="J78" s="32"/>
      <c r="K78" s="32"/>
      <c r="P78" s="12"/>
      <c r="Q78" s="2"/>
      <c r="R78" s="12"/>
      <c r="S78" s="12"/>
      <c r="T78" s="12"/>
      <c r="U78" s="12"/>
      <c r="V78" s="12"/>
      <c r="W78" s="12"/>
    </row>
    <row r="79" spans="2:23" ht="8" customHeight="1" x14ac:dyDescent="0.15">
      <c r="G79" s="32"/>
      <c r="H79" s="32"/>
      <c r="I79" s="32"/>
      <c r="J79" s="32"/>
      <c r="K79" s="32"/>
      <c r="P79" s="12"/>
      <c r="Q79" s="2"/>
      <c r="R79" s="12"/>
      <c r="S79" s="12"/>
      <c r="T79" s="12"/>
      <c r="U79" s="12"/>
      <c r="V79" s="12"/>
      <c r="W79" s="12"/>
    </row>
    <row r="80" spans="2:23" x14ac:dyDescent="0.15">
      <c r="G80" s="32"/>
      <c r="H80" s="32"/>
      <c r="I80" s="32"/>
      <c r="J80" s="32"/>
      <c r="K80" s="32"/>
      <c r="P80" s="12"/>
      <c r="Q80" s="2"/>
      <c r="R80" s="12"/>
      <c r="S80" s="12"/>
      <c r="T80" s="12"/>
      <c r="U80" s="12"/>
      <c r="V80" s="12"/>
      <c r="W80" s="12"/>
    </row>
    <row r="81" spans="1:20" ht="14" x14ac:dyDescent="0.15"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69"/>
      <c r="M81" s="69"/>
      <c r="N81" s="69"/>
      <c r="O81" s="69"/>
      <c r="Q81" s="2"/>
      <c r="T81" s="47"/>
    </row>
    <row r="82" spans="1:20" x14ac:dyDescent="0.15">
      <c r="B82" s="32"/>
      <c r="C82" s="32"/>
      <c r="D82" s="32"/>
      <c r="E82" s="32"/>
      <c r="F82" s="32"/>
      <c r="G82" s="32"/>
      <c r="H82" s="32"/>
      <c r="I82" s="32"/>
      <c r="J82" s="32"/>
      <c r="K82" s="32"/>
      <c r="Q82" s="2"/>
      <c r="T82" s="11"/>
    </row>
    <row r="83" spans="1:20" x14ac:dyDescent="0.15">
      <c r="O83" s="12"/>
      <c r="Q83" s="2"/>
    </row>
    <row r="84" spans="1:20" x14ac:dyDescent="0.15">
      <c r="Q84" s="2"/>
    </row>
    <row r="85" spans="1:20" x14ac:dyDescent="0.15">
      <c r="Q85" s="2"/>
    </row>
    <row r="86" spans="1:20" ht="12" customHeight="1" x14ac:dyDescent="0.15">
      <c r="Q86" s="2"/>
      <c r="T86" s="46" t="e">
        <f>CONCATENATE("Of the 45 targets, ",#REF!," ","were identified with ",#REF!," ","commission errors. This corresponds to an Accuracy Index of "&amp;TEXT(#REF!,"0% ")&amp;"which contrasts with the average of 95% for healthy individuals.")</f>
        <v>#REF!</v>
      </c>
    </row>
    <row r="87" spans="1:20" ht="12.75" customHeight="1" x14ac:dyDescent="0.15">
      <c r="L87" s="31"/>
      <c r="M87" s="31"/>
      <c r="N87" s="31"/>
      <c r="Q87" s="2"/>
      <c r="T87" s="46"/>
    </row>
    <row r="88" spans="1:20" ht="10.5" customHeight="1" x14ac:dyDescent="0.15">
      <c r="Q88" s="2"/>
      <c r="T88" s="46"/>
    </row>
    <row r="89" spans="1:20" ht="13" customHeight="1" x14ac:dyDescent="0.15">
      <c r="Q89" s="1"/>
      <c r="T89" s="14" t="e">
        <f>CONCATENATE("The Accuracy Index, which takes into account correct answers and errors, is " &amp;TEXT('Healthy Controls'!#REF!,"0%")&amp;" different from the normative sample.")</f>
        <v>#REF!</v>
      </c>
    </row>
    <row r="90" spans="1:20" ht="13" customHeight="1" x14ac:dyDescent="0.15">
      <c r="Q90" s="2"/>
    </row>
    <row r="91" spans="1:20" ht="13" customHeight="1" x14ac:dyDescent="0.15">
      <c r="Q91" s="2"/>
    </row>
    <row r="92" spans="1:20" x14ac:dyDescent="0.15">
      <c r="L92" s="32"/>
      <c r="M92" s="32"/>
      <c r="N92" s="32"/>
      <c r="O92" s="32"/>
      <c r="P92" s="32"/>
      <c r="Q92" s="35"/>
    </row>
    <row r="93" spans="1:20" ht="13" customHeight="1" x14ac:dyDescent="0.15">
      <c r="L93" s="49"/>
      <c r="M93" s="49"/>
      <c r="N93" s="49"/>
      <c r="O93" s="49"/>
      <c r="P93" s="32"/>
      <c r="Q93" s="35"/>
    </row>
    <row r="94" spans="1:20" ht="6" customHeight="1" x14ac:dyDescent="0.15">
      <c r="L94" s="49"/>
      <c r="M94" s="49"/>
      <c r="N94" s="49"/>
      <c r="O94" s="49"/>
      <c r="P94" s="32"/>
      <c r="Q94" s="35"/>
    </row>
    <row r="95" spans="1:20" x14ac:dyDescent="0.15">
      <c r="L95" s="32"/>
      <c r="M95" s="32"/>
      <c r="N95" s="32"/>
      <c r="O95" s="32"/>
      <c r="P95" s="32"/>
      <c r="Q95" s="35"/>
    </row>
    <row r="96" spans="1:20" s="13" customFormat="1" x14ac:dyDescent="0.15">
      <c r="A96" s="307"/>
      <c r="B96"/>
      <c r="C96"/>
      <c r="D96"/>
      <c r="E96"/>
      <c r="F96"/>
      <c r="G96"/>
      <c r="H96"/>
      <c r="I96"/>
      <c r="J96"/>
      <c r="K96"/>
      <c r="L96" s="38"/>
      <c r="M96" s="38"/>
      <c r="N96" s="38"/>
      <c r="O96" s="38"/>
      <c r="P96" s="48"/>
      <c r="Q96" s="48"/>
    </row>
    <row r="97" spans="12:17" x14ac:dyDescent="0.15">
      <c r="L97" s="32"/>
      <c r="M97" s="32"/>
      <c r="N97" s="32"/>
      <c r="O97" s="32"/>
      <c r="P97" s="32"/>
      <c r="Q97" s="39"/>
    </row>
    <row r="98" spans="12:17" x14ac:dyDescent="0.15">
      <c r="L98" s="32"/>
      <c r="M98" s="32"/>
      <c r="N98" s="32"/>
      <c r="O98" s="32"/>
      <c r="P98" s="32"/>
      <c r="Q98" s="39"/>
    </row>
    <row r="99" spans="12:17" x14ac:dyDescent="0.15">
      <c r="L99" s="32"/>
      <c r="M99" s="32"/>
      <c r="N99" s="32"/>
      <c r="O99" s="32"/>
      <c r="P99" s="32"/>
      <c r="Q99" s="35"/>
    </row>
    <row r="100" spans="12:17" x14ac:dyDescent="0.15">
      <c r="L100" s="32"/>
      <c r="M100" s="32"/>
      <c r="N100" s="32"/>
      <c r="O100" s="32"/>
      <c r="P100" s="32"/>
      <c r="Q100" s="35"/>
    </row>
    <row r="101" spans="12:17" x14ac:dyDescent="0.15">
      <c r="L101" s="32"/>
      <c r="M101" s="32"/>
      <c r="N101" s="32"/>
      <c r="O101" s="32"/>
      <c r="P101" s="32"/>
      <c r="Q101" s="35"/>
    </row>
    <row r="102" spans="12:17" x14ac:dyDescent="0.15">
      <c r="L102" s="32"/>
      <c r="M102" s="32"/>
      <c r="N102" s="32"/>
      <c r="O102" s="32"/>
      <c r="P102" s="32"/>
      <c r="Q102" s="35"/>
    </row>
    <row r="103" spans="12:17" x14ac:dyDescent="0.15">
      <c r="L103" s="32"/>
      <c r="M103" s="32"/>
      <c r="N103" s="32"/>
      <c r="O103" s="32"/>
      <c r="P103" s="32"/>
      <c r="Q103" s="35"/>
    </row>
    <row r="104" spans="12:17" x14ac:dyDescent="0.15">
      <c r="L104" s="32"/>
      <c r="M104" s="32"/>
      <c r="N104" s="32"/>
      <c r="O104" s="32"/>
      <c r="P104" s="32"/>
      <c r="Q104" s="35"/>
    </row>
    <row r="105" spans="12:17" x14ac:dyDescent="0.15">
      <c r="Q105" s="2"/>
    </row>
    <row r="106" spans="12:17" x14ac:dyDescent="0.15">
      <c r="Q106" s="2"/>
    </row>
  </sheetData>
  <mergeCells count="51">
    <mergeCell ref="C34:D34"/>
    <mergeCell ref="B4:D4"/>
    <mergeCell ref="C32:D32"/>
    <mergeCell ref="G2:K2"/>
    <mergeCell ref="X59:AB59"/>
    <mergeCell ref="R61:T61"/>
    <mergeCell ref="N55:O55"/>
    <mergeCell ref="M38:N38"/>
    <mergeCell ref="C2:F2"/>
    <mergeCell ref="E33:G35"/>
    <mergeCell ref="E32:G32"/>
    <mergeCell ref="B5:D5"/>
    <mergeCell ref="C31:D31"/>
    <mergeCell ref="F9:G9"/>
    <mergeCell ref="B29:G29"/>
    <mergeCell ref="B16:F16"/>
    <mergeCell ref="B8:D8"/>
    <mergeCell ref="B10:D14"/>
    <mergeCell ref="C35:D35"/>
    <mergeCell ref="C33:D33"/>
    <mergeCell ref="N63:O63"/>
    <mergeCell ref="N40:O40"/>
    <mergeCell ref="M51:O51"/>
    <mergeCell ref="G47:K47"/>
    <mergeCell ref="M33:O33"/>
    <mergeCell ref="J33:L33"/>
    <mergeCell ref="J38:K38"/>
    <mergeCell ref="J37:K37"/>
    <mergeCell ref="J36:K36"/>
    <mergeCell ref="J35:K35"/>
    <mergeCell ref="O35:O38"/>
    <mergeCell ref="J29:O29"/>
    <mergeCell ref="E31:G31"/>
    <mergeCell ref="F7:F8"/>
    <mergeCell ref="O16:Q16"/>
    <mergeCell ref="Q10:Q13"/>
    <mergeCell ref="H10:M10"/>
    <mergeCell ref="H11:M11"/>
    <mergeCell ref="H12:M12"/>
    <mergeCell ref="H13:M13"/>
    <mergeCell ref="H8:M8"/>
    <mergeCell ref="H16:M16"/>
    <mergeCell ref="Q31:Q32"/>
    <mergeCell ref="B26:F26"/>
    <mergeCell ref="B23:F25"/>
    <mergeCell ref="J31:O31"/>
    <mergeCell ref="L2:M2"/>
    <mergeCell ref="H27:M27"/>
    <mergeCell ref="I4:M4"/>
    <mergeCell ref="I5:M5"/>
    <mergeCell ref="G7:G8"/>
  </mergeCells>
  <phoneticPr fontId="0" type="noConversion"/>
  <conditionalFormatting sqref="C35">
    <cfRule type="cellIs" dxfId="9" priority="7" operator="greaterThan">
      <formula>0.1</formula>
    </cfRule>
  </conditionalFormatting>
  <conditionalFormatting sqref="D19:D20">
    <cfRule type="cellIs" dxfId="8" priority="5" operator="lessThan">
      <formula>-1.5</formula>
    </cfRule>
  </conditionalFormatting>
  <conditionalFormatting sqref="E19:E20">
    <cfRule type="cellIs" dxfId="7" priority="3" operator="lessThan">
      <formula>36</formula>
    </cfRule>
  </conditionalFormatting>
  <conditionalFormatting sqref="F19:F20">
    <cfRule type="cellIs" dxfId="6" priority="1" operator="lessThan">
      <formula>78</formula>
    </cfRule>
  </conditionalFormatting>
  <conditionalFormatting sqref="H10:H13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{3DE8611A-7CC4-FD4D-815F-A5DDA446C3CD}</x14:id>
        </ext>
      </extLst>
    </cfRule>
  </conditionalFormatting>
  <conditionalFormatting sqref="M38">
    <cfRule type="cellIs" dxfId="5" priority="6" operator="lessThan">
      <formula>-1.499</formula>
    </cfRule>
  </conditionalFormatting>
  <dataValidations disablePrompts="1" count="2">
    <dataValidation type="list" allowBlank="1" showInputMessage="1" showErrorMessage="1" sqref="C32" xr:uid="{3DF526EE-D0A0-44B6-874F-7108A80FEE9A}">
      <formula1>"No response or Unable to answer, Easy, Little difficult, Moderately difficult, Extremely difficult"</formula1>
    </dataValidation>
    <dataValidation type="list" allowBlank="1" showInputMessage="1" showErrorMessage="1" sqref="H4" xr:uid="{B0C0284A-0B7D-4BEE-A68D-EAB17CD09DFF}">
      <formula1>"Male,Female"</formula1>
    </dataValidation>
  </dataValidations>
  <hyperlinks>
    <hyperlink ref="Q4" location="'Repeat Assessments'!A1" display="'Repeat Assessments'!A1" xr:uid="{5ACDFE55-B7E5-F542-8E3F-B4EDF51BFF8C}"/>
    <hyperlink ref="Q14" location="'AI interpretation'!A1" display="Go to AI Interpretation sheet" xr:uid="{4A510281-765A-CC4D-8800-74CE761B1F4F}"/>
    <hyperlink ref="J31:O31" location="'Set Up Other Group Data'!A1" display="Click Set Up Other Group Data tab to add a specific comparison group. The results will be automatically entered below.  Click here to Set up Other Group Data" xr:uid="{F8D41859-7D26-41B2-A04C-6BE0583E7F86}"/>
  </hyperlinks>
  <printOptions horizontalCentered="1" verticalCentered="1"/>
  <pageMargins left="0.25" right="0.25" top="0.5" bottom="0.5" header="0.5" footer="0.5"/>
  <pageSetup orientation="landscape" blackAndWhite="1" horizontalDpi="4294967292" verticalDpi="4294967292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DE8611A-7CC4-FD4D-815F-A5DDA446C3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H10:H13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E8A5A-A328-754A-85AF-E21F8A499F56}">
  <sheetPr codeName="Sheet3">
    <tabColor theme="4" tint="-0.249977111117893"/>
  </sheetPr>
  <dimension ref="B1:G40"/>
  <sheetViews>
    <sheetView showGridLines="0" workbookViewId="0">
      <selection activeCell="C4" sqref="C4:D4"/>
    </sheetView>
  </sheetViews>
  <sheetFormatPr baseColWidth="10" defaultColWidth="11" defaultRowHeight="12" x14ac:dyDescent="0.15"/>
  <cols>
    <col min="1" max="1" width="3.3984375" customWidth="1"/>
    <col min="2" max="2" width="18.3984375" customWidth="1"/>
    <col min="3" max="4" width="13" customWidth="1"/>
    <col min="5" max="5" width="15.59765625" customWidth="1"/>
    <col min="6" max="6" width="13.3984375" customWidth="1"/>
  </cols>
  <sheetData>
    <row r="1" spans="2:7" ht="7" customHeight="1" x14ac:dyDescent="0.15"/>
    <row r="2" spans="2:7" ht="23" customHeight="1" x14ac:dyDescent="0.15">
      <c r="B2" s="502" t="s">
        <v>55</v>
      </c>
      <c r="C2" s="502"/>
      <c r="D2" s="502" t="s">
        <v>43</v>
      </c>
      <c r="E2" s="502"/>
      <c r="F2" s="502"/>
    </row>
    <row r="3" spans="2:7" ht="9.5" customHeight="1" x14ac:dyDescent="0.15">
      <c r="B3" s="97"/>
      <c r="C3" s="98"/>
      <c r="D3" s="99"/>
      <c r="E3" s="97"/>
      <c r="F3" s="97"/>
    </row>
    <row r="4" spans="2:7" ht="17" customHeight="1" x14ac:dyDescent="0.15">
      <c r="B4" s="113" t="s">
        <v>94</v>
      </c>
      <c r="C4" s="500" t="s">
        <v>28</v>
      </c>
      <c r="D4" s="501"/>
      <c r="E4" s="156" t="s">
        <v>95</v>
      </c>
      <c r="F4" s="179"/>
    </row>
    <row r="5" spans="2:7" x14ac:dyDescent="0.15">
      <c r="B5" s="100"/>
      <c r="D5" s="100"/>
      <c r="E5" s="100"/>
      <c r="F5" s="100"/>
    </row>
    <row r="6" spans="2:7" ht="16.75" customHeight="1" x14ac:dyDescent="0.15">
      <c r="B6" s="52" t="s">
        <v>29</v>
      </c>
      <c r="C6" s="52" t="s">
        <v>1</v>
      </c>
      <c r="D6" s="52" t="s">
        <v>3</v>
      </c>
      <c r="E6" s="52" t="s">
        <v>4</v>
      </c>
      <c r="F6" s="52" t="s">
        <v>5</v>
      </c>
    </row>
    <row r="7" spans="2:7" x14ac:dyDescent="0.15">
      <c r="B7" s="305">
        <v>1</v>
      </c>
      <c r="C7" s="181" t="s">
        <v>96</v>
      </c>
      <c r="D7" s="308">
        <v>40</v>
      </c>
      <c r="E7" s="308">
        <v>1</v>
      </c>
      <c r="F7" s="437">
        <f>IF(C7="","",D7/(45+E7))</f>
        <v>0.86956521739130432</v>
      </c>
      <c r="G7" s="309"/>
    </row>
    <row r="8" spans="2:7" ht="14" customHeight="1" x14ac:dyDescent="0.15">
      <c r="B8" s="305">
        <v>2</v>
      </c>
      <c r="C8" s="181" t="s">
        <v>97</v>
      </c>
      <c r="D8" s="308">
        <v>39</v>
      </c>
      <c r="E8" s="308">
        <v>0</v>
      </c>
      <c r="F8" s="437">
        <f>IF(C8="","",D8/(45+E8))</f>
        <v>0.8666666666666667</v>
      </c>
      <c r="G8" s="309"/>
    </row>
    <row r="9" spans="2:7" ht="14" customHeight="1" x14ac:dyDescent="0.15">
      <c r="B9" s="305">
        <v>3</v>
      </c>
      <c r="C9" s="181" t="s">
        <v>98</v>
      </c>
      <c r="D9" s="308">
        <v>39</v>
      </c>
      <c r="E9" s="308">
        <v>0</v>
      </c>
      <c r="F9" s="437">
        <f>IF(C9="","",D9/(45+E9))</f>
        <v>0.8666666666666667</v>
      </c>
      <c r="G9" s="309"/>
    </row>
    <row r="10" spans="2:7" ht="14" customHeight="1" x14ac:dyDescent="0.15">
      <c r="B10" s="305">
        <v>4</v>
      </c>
      <c r="C10" s="181" t="s">
        <v>102</v>
      </c>
      <c r="D10" s="308">
        <v>30</v>
      </c>
      <c r="E10" s="308">
        <v>2</v>
      </c>
      <c r="F10" s="437">
        <f>IF(C10="","",D10/(45+E10))</f>
        <v>0.63829787234042556</v>
      </c>
      <c r="G10" s="309"/>
    </row>
    <row r="11" spans="2:7" ht="14" customHeight="1" x14ac:dyDescent="0.15">
      <c r="B11" s="305">
        <v>5</v>
      </c>
      <c r="C11" s="181"/>
      <c r="D11" s="308"/>
      <c r="E11" s="308"/>
      <c r="F11" s="437" t="str">
        <f>IF(C11="","",D11/(45+E11))</f>
        <v/>
      </c>
      <c r="G11" s="309"/>
    </row>
    <row r="12" spans="2:7" x14ac:dyDescent="0.15">
      <c r="B12" s="100"/>
      <c r="D12" s="100"/>
      <c r="E12" s="100"/>
      <c r="F12" s="100"/>
    </row>
    <row r="13" spans="2:7" ht="23" customHeight="1" x14ac:dyDescent="0.15">
      <c r="B13" s="503" t="s">
        <v>30</v>
      </c>
      <c r="C13" s="503"/>
      <c r="D13" s="503"/>
      <c r="E13" s="503"/>
      <c r="F13" s="503"/>
    </row>
    <row r="14" spans="2:7" ht="16" customHeight="1" x14ac:dyDescent="0.15">
      <c r="B14" s="113" t="s">
        <v>54</v>
      </c>
      <c r="C14" s="157">
        <f>COUNTA(C7:C11)</f>
        <v>4</v>
      </c>
      <c r="D14" s="68"/>
      <c r="E14" s="180"/>
      <c r="F14" s="180"/>
    </row>
    <row r="15" spans="2:7" ht="16" customHeight="1" x14ac:dyDescent="0.15">
      <c r="B15" s="113" t="s">
        <v>31</v>
      </c>
      <c r="C15" s="301">
        <f>AVERAGE(F7:F11)</f>
        <v>0.81029910576626585</v>
      </c>
      <c r="D15" s="68"/>
      <c r="E15" s="180"/>
      <c r="F15" s="180"/>
    </row>
    <row r="16" spans="2:7" ht="16" customHeight="1" x14ac:dyDescent="0.15">
      <c r="B16" s="113" t="s">
        <v>33</v>
      </c>
      <c r="C16" s="302">
        <f>STDEV(F7:F11)</f>
        <v>0.11467562968489659</v>
      </c>
      <c r="D16" s="504" t="s">
        <v>53</v>
      </c>
      <c r="E16" s="504"/>
      <c r="F16" s="504"/>
    </row>
    <row r="17" spans="2:6" ht="16" customHeight="1" x14ac:dyDescent="0.15">
      <c r="B17" s="113" t="s">
        <v>32</v>
      </c>
      <c r="C17" s="304">
        <f>MAX(F7:F11)-MIN(F7:F11)</f>
        <v>0.23126734505087876</v>
      </c>
      <c r="D17" s="231">
        <f>MIN(F7:F11)</f>
        <v>0.63829787234042556</v>
      </c>
      <c r="E17" s="68" t="s">
        <v>46</v>
      </c>
      <c r="F17" s="232">
        <f>MAX(F7:F11)</f>
        <v>0.86956521739130432</v>
      </c>
    </row>
    <row r="19" spans="2:6" x14ac:dyDescent="0.15">
      <c r="B19" s="100"/>
      <c r="C19" s="101"/>
      <c r="D19" s="100"/>
      <c r="E19" s="100"/>
      <c r="F19" s="100"/>
    </row>
    <row r="20" spans="2:6" x14ac:dyDescent="0.15">
      <c r="B20" s="100"/>
      <c r="D20" s="100"/>
      <c r="E20" s="100"/>
      <c r="F20" s="100"/>
    </row>
    <row r="21" spans="2:6" x14ac:dyDescent="0.15">
      <c r="B21" s="100"/>
      <c r="D21" s="100"/>
      <c r="E21" s="100"/>
      <c r="F21" s="100"/>
    </row>
    <row r="22" spans="2:6" x14ac:dyDescent="0.15">
      <c r="B22" s="100"/>
      <c r="D22" s="100"/>
      <c r="E22" s="100"/>
      <c r="F22" s="100"/>
    </row>
    <row r="23" spans="2:6" x14ac:dyDescent="0.15">
      <c r="B23" s="100"/>
      <c r="D23" s="100"/>
      <c r="E23" s="100"/>
      <c r="F23" s="100"/>
    </row>
    <row r="24" spans="2:6" x14ac:dyDescent="0.15">
      <c r="B24" s="100"/>
      <c r="D24" s="100"/>
      <c r="E24" s="100"/>
      <c r="F24" s="100"/>
    </row>
    <row r="25" spans="2:6" x14ac:dyDescent="0.15">
      <c r="B25" s="100"/>
      <c r="D25" s="100"/>
      <c r="E25" s="100"/>
      <c r="F25" s="100"/>
    </row>
    <row r="26" spans="2:6" x14ac:dyDescent="0.15">
      <c r="B26" s="100"/>
      <c r="D26" s="100"/>
      <c r="E26" s="100"/>
      <c r="F26" s="100"/>
    </row>
    <row r="27" spans="2:6" x14ac:dyDescent="0.15">
      <c r="B27" s="100"/>
      <c r="D27" s="100"/>
      <c r="E27" s="100"/>
      <c r="F27" s="100"/>
    </row>
    <row r="28" spans="2:6" x14ac:dyDescent="0.15">
      <c r="B28" s="100"/>
      <c r="D28" s="100"/>
      <c r="E28" s="100"/>
      <c r="F28" s="100"/>
    </row>
    <row r="29" spans="2:6" x14ac:dyDescent="0.15">
      <c r="B29" s="100"/>
      <c r="D29" s="100"/>
      <c r="E29" s="100"/>
      <c r="F29" s="100"/>
    </row>
    <row r="30" spans="2:6" x14ac:dyDescent="0.15">
      <c r="B30" s="100"/>
      <c r="D30" s="100"/>
      <c r="E30" s="100"/>
      <c r="F30" s="100"/>
    </row>
    <row r="31" spans="2:6" x14ac:dyDescent="0.15">
      <c r="B31" s="100"/>
      <c r="D31" s="100"/>
      <c r="E31" s="100"/>
      <c r="F31" s="100"/>
    </row>
    <row r="32" spans="2:6" x14ac:dyDescent="0.15">
      <c r="B32" s="100"/>
      <c r="D32" s="100"/>
      <c r="E32" s="100"/>
      <c r="F32" s="100"/>
    </row>
    <row r="33" spans="2:6" x14ac:dyDescent="0.15">
      <c r="B33" s="100"/>
      <c r="D33" s="100"/>
      <c r="E33" s="100"/>
      <c r="F33" s="100"/>
    </row>
    <row r="34" spans="2:6" x14ac:dyDescent="0.15">
      <c r="B34" s="100"/>
      <c r="D34" s="100"/>
      <c r="E34" s="100"/>
      <c r="F34" s="100"/>
    </row>
    <row r="35" spans="2:6" x14ac:dyDescent="0.15">
      <c r="B35" s="100"/>
      <c r="D35" s="100"/>
      <c r="E35" s="100"/>
      <c r="F35" s="100"/>
    </row>
    <row r="36" spans="2:6" ht="14" customHeight="1" x14ac:dyDescent="0.15">
      <c r="B36" s="303"/>
      <c r="C36" s="303"/>
      <c r="D36" s="100"/>
      <c r="E36" s="100"/>
      <c r="F36" s="100"/>
    </row>
    <row r="37" spans="2:6" ht="14" customHeight="1" x14ac:dyDescent="0.15">
      <c r="B37" s="303"/>
      <c r="C37" s="303"/>
    </row>
    <row r="38" spans="2:6" ht="14" customHeight="1" x14ac:dyDescent="0.15">
      <c r="B38" s="303"/>
      <c r="C38" s="303"/>
    </row>
    <row r="39" spans="2:6" ht="14" customHeight="1" x14ac:dyDescent="0.15">
      <c r="B39" s="303"/>
      <c r="C39" s="303"/>
    </row>
    <row r="40" spans="2:6" ht="14" customHeight="1" x14ac:dyDescent="0.15">
      <c r="B40" s="303"/>
      <c r="C40" s="303"/>
    </row>
  </sheetData>
  <mergeCells count="4">
    <mergeCell ref="C4:D4"/>
    <mergeCell ref="B2:F2"/>
    <mergeCell ref="B13:F13"/>
    <mergeCell ref="D16:F1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2A575-7BD8-3941-B1B2-46C703EFED5D}">
  <sheetPr codeName="Sheet5">
    <tabColor theme="9" tint="0.59999389629810485"/>
  </sheetPr>
  <dimension ref="B1:Q99"/>
  <sheetViews>
    <sheetView showGridLines="0" zoomScaleNormal="100" workbookViewId="0">
      <selection activeCell="C6" sqref="C6:E6"/>
    </sheetView>
  </sheetViews>
  <sheetFormatPr baseColWidth="10" defaultColWidth="11" defaultRowHeight="12" x14ac:dyDescent="0.15"/>
  <cols>
    <col min="1" max="1" width="2.59765625" style="17" customWidth="1"/>
    <col min="2" max="2" width="12.59765625" style="17" customWidth="1"/>
    <col min="3" max="3" width="15.59765625" style="17" customWidth="1"/>
    <col min="4" max="4" width="9.796875" style="17" customWidth="1"/>
    <col min="5" max="5" width="11" style="17"/>
    <col min="6" max="6" width="12.3984375" style="17" customWidth="1"/>
    <col min="7" max="7" width="11" style="17"/>
    <col min="8" max="8" width="3.3984375" style="17" customWidth="1"/>
    <col min="9" max="9" width="10.3984375" style="17" customWidth="1"/>
    <col min="10" max="10" width="11.796875" style="17" customWidth="1"/>
    <col min="11" max="11" width="10.3984375" style="17" customWidth="1"/>
    <col min="12" max="12" width="5" style="17" customWidth="1"/>
    <col min="13" max="13" width="2.796875" style="17" customWidth="1"/>
    <col min="14" max="14" width="11.59765625" style="17" customWidth="1"/>
    <col min="15" max="15" width="8" style="17" customWidth="1"/>
    <col min="16" max="16" width="10" style="17" customWidth="1"/>
    <col min="17" max="17" width="5.3984375" style="17" customWidth="1"/>
    <col min="18" max="16384" width="11" style="17"/>
  </cols>
  <sheetData>
    <row r="1" spans="2:17" ht="7" customHeight="1" x14ac:dyDescent="0.15"/>
    <row r="2" spans="2:17" s="86" customFormat="1" ht="24" customHeight="1" x14ac:dyDescent="0.15">
      <c r="B2" s="507" t="s">
        <v>56</v>
      </c>
      <c r="C2" s="507"/>
      <c r="D2" s="507"/>
      <c r="E2" s="507"/>
      <c r="F2" s="507"/>
      <c r="G2" s="507"/>
      <c r="H2" s="507"/>
      <c r="I2" s="507"/>
      <c r="J2" s="507"/>
      <c r="K2" s="507"/>
      <c r="L2" s="87"/>
      <c r="N2" s="85"/>
    </row>
    <row r="3" spans="2:17" s="87" customFormat="1" ht="5" customHeight="1" x14ac:dyDescent="0.15">
      <c r="B3" s="505"/>
      <c r="C3" s="505"/>
      <c r="D3" s="505"/>
      <c r="E3" s="505"/>
      <c r="F3" s="505"/>
      <c r="G3" s="505"/>
      <c r="H3" s="505"/>
      <c r="I3" s="505"/>
      <c r="J3" s="505"/>
      <c r="K3" s="505"/>
      <c r="N3" s="92"/>
    </row>
    <row r="4" spans="2:17" s="86" customFormat="1" ht="31.25" customHeight="1" x14ac:dyDescent="0.15">
      <c r="B4" s="508" t="s">
        <v>139</v>
      </c>
      <c r="C4" s="509"/>
      <c r="D4" s="509"/>
      <c r="E4" s="509"/>
      <c r="F4" s="509"/>
      <c r="G4" s="509"/>
      <c r="H4" s="509"/>
      <c r="I4" s="509"/>
      <c r="J4" s="509"/>
      <c r="K4" s="510"/>
      <c r="L4" s="93"/>
      <c r="N4" s="85"/>
    </row>
    <row r="5" spans="2:17" s="86" customFormat="1" ht="10.75" customHeight="1" x14ac:dyDescent="0.15">
      <c r="B5" s="15"/>
      <c r="D5" s="85"/>
      <c r="E5" s="85"/>
      <c r="F5" s="85"/>
      <c r="K5" s="15"/>
      <c r="L5" s="87"/>
      <c r="N5" s="85"/>
    </row>
    <row r="6" spans="2:17" s="86" customFormat="1" ht="18" customHeight="1" x14ac:dyDescent="0.15">
      <c r="B6" s="95" t="s">
        <v>44</v>
      </c>
      <c r="C6" s="523" t="s">
        <v>61</v>
      </c>
      <c r="D6" s="524"/>
      <c r="E6" s="525"/>
      <c r="F6" s="83" t="s">
        <v>34</v>
      </c>
      <c r="G6" s="517" t="s">
        <v>123</v>
      </c>
      <c r="H6" s="518"/>
      <c r="I6" s="518"/>
      <c r="J6" s="518"/>
      <c r="K6" s="519"/>
      <c r="L6" s="94"/>
      <c r="M6" s="506" t="s">
        <v>67</v>
      </c>
      <c r="N6" s="506"/>
      <c r="O6" s="506"/>
      <c r="P6" s="506"/>
      <c r="Q6" s="506"/>
    </row>
    <row r="7" spans="2:17" s="86" customFormat="1" ht="6" customHeight="1" x14ac:dyDescent="0.15">
      <c r="B7" s="197"/>
      <c r="C7" s="247"/>
      <c r="D7" s="247"/>
      <c r="E7" s="247"/>
      <c r="F7" s="155"/>
      <c r="G7" s="248"/>
      <c r="H7" s="248"/>
      <c r="I7" s="248"/>
      <c r="J7" s="248"/>
      <c r="K7" s="248"/>
      <c r="L7" s="94"/>
      <c r="M7" s="288"/>
      <c r="N7" s="288"/>
      <c r="O7" s="288"/>
      <c r="P7" s="288"/>
      <c r="Q7" s="288"/>
    </row>
    <row r="8" spans="2:17" ht="18" customHeight="1" x14ac:dyDescent="0.15">
      <c r="C8" s="89"/>
      <c r="D8" s="83"/>
      <c r="E8" s="246" t="s">
        <v>75</v>
      </c>
      <c r="F8" s="245" t="s">
        <v>75</v>
      </c>
      <c r="I8" s="520" t="s">
        <v>121</v>
      </c>
      <c r="J8" s="520"/>
      <c r="K8" s="520"/>
      <c r="L8" s="158"/>
      <c r="M8" s="182"/>
      <c r="N8" s="183"/>
      <c r="O8" s="184"/>
      <c r="P8" s="184"/>
      <c r="Q8" s="185"/>
    </row>
    <row r="9" spans="2:17" ht="18" customHeight="1" thickBot="1" x14ac:dyDescent="0.2">
      <c r="B9" s="85" t="s">
        <v>120</v>
      </c>
      <c r="C9" s="285" t="s">
        <v>71</v>
      </c>
      <c r="D9" s="285" t="s">
        <v>52</v>
      </c>
      <c r="E9" s="286" t="s">
        <v>3</v>
      </c>
      <c r="F9" s="287" t="s">
        <v>4</v>
      </c>
      <c r="G9" s="285" t="s">
        <v>35</v>
      </c>
      <c r="I9" s="92" t="s">
        <v>3</v>
      </c>
      <c r="J9" s="92" t="s">
        <v>4</v>
      </c>
      <c r="K9" s="158" t="s">
        <v>35</v>
      </c>
      <c r="L9" s="92"/>
      <c r="M9" s="186"/>
      <c r="N9" s="195" t="s">
        <v>77</v>
      </c>
      <c r="O9" s="521" t="str">
        <f>IF(C6="","",C6)</f>
        <v>My group</v>
      </c>
      <c r="P9" s="522"/>
      <c r="Q9" s="185"/>
    </row>
    <row r="10" spans="2:17" ht="14" customHeight="1" thickTop="1" x14ac:dyDescent="0.15">
      <c r="B10" s="310">
        <v>1</v>
      </c>
      <c r="C10" s="375">
        <v>1</v>
      </c>
      <c r="D10" s="372">
        <v>1.8</v>
      </c>
      <c r="E10" s="362"/>
      <c r="F10" s="363"/>
      <c r="G10" s="364" t="str">
        <f>IF(E10="","",E10/(15+F10))</f>
        <v/>
      </c>
      <c r="H10" s="84"/>
      <c r="I10" s="526" t="str">
        <f>IF(E10="","",SUM(E10:E12))</f>
        <v/>
      </c>
      <c r="J10" s="529" t="str">
        <f>IF(E10="","",SUM(F10:F12))</f>
        <v/>
      </c>
      <c r="K10" s="532" t="str">
        <f>IF(E10="","",I10/(45+J10))</f>
        <v/>
      </c>
      <c r="L10" s="96"/>
      <c r="M10" s="186"/>
      <c r="N10" s="191"/>
      <c r="O10" s="191"/>
      <c r="P10" s="191"/>
      <c r="Q10" s="185"/>
    </row>
    <row r="11" spans="2:17" ht="14" customHeight="1" x14ac:dyDescent="0.15">
      <c r="B11" s="155"/>
      <c r="C11" s="155"/>
      <c r="D11" s="373">
        <v>1.4</v>
      </c>
      <c r="E11" s="365"/>
      <c r="F11" s="366"/>
      <c r="G11" s="251" t="str">
        <f t="shared" ref="G11:G74" si="0">IF(E11="","",E11/(15+F11))</f>
        <v/>
      </c>
      <c r="I11" s="527"/>
      <c r="J11" s="530"/>
      <c r="K11" s="533"/>
      <c r="L11" s="94"/>
      <c r="M11" s="186"/>
      <c r="N11" s="229" t="s">
        <v>36</v>
      </c>
      <c r="O11" s="230" t="s">
        <v>37</v>
      </c>
      <c r="P11" s="230" t="s">
        <v>38</v>
      </c>
      <c r="Q11" s="185"/>
    </row>
    <row r="12" spans="2:17" ht="14" customHeight="1" thickBot="1" x14ac:dyDescent="0.2">
      <c r="B12" s="155"/>
      <c r="C12" s="376"/>
      <c r="D12" s="374">
        <v>1</v>
      </c>
      <c r="E12" s="367"/>
      <c r="F12" s="368"/>
      <c r="G12" s="369" t="str">
        <f t="shared" si="0"/>
        <v/>
      </c>
      <c r="I12" s="528"/>
      <c r="J12" s="531"/>
      <c r="K12" s="534"/>
      <c r="L12" s="94"/>
      <c r="M12" s="186"/>
      <c r="N12" s="196" t="s">
        <v>3</v>
      </c>
      <c r="O12" s="413" t="str">
        <f>IF(COUNTA(E10:E99)=0,"",AVERAGE(E10:E99))</f>
        <v/>
      </c>
      <c r="P12" s="414" t="str">
        <f>IF(COUNTA(E10:E99)=0,"",(_xlfn.STDEV.P(E10:E99)))</f>
        <v/>
      </c>
      <c r="Q12" s="185"/>
    </row>
    <row r="13" spans="2:17" ht="14" customHeight="1" x14ac:dyDescent="0.15">
      <c r="B13" s="155">
        <v>2</v>
      </c>
      <c r="C13" s="375"/>
      <c r="D13" s="372">
        <v>1.8</v>
      </c>
      <c r="E13" s="370"/>
      <c r="F13" s="363"/>
      <c r="G13" s="364" t="str">
        <f t="shared" si="0"/>
        <v/>
      </c>
      <c r="H13" s="85"/>
      <c r="I13" s="535" t="str">
        <f>IF(E13="","",SUM(E13:E15))</f>
        <v/>
      </c>
      <c r="J13" s="536" t="str">
        <f>IF(E13="","",SUM(F13:F15))</f>
        <v/>
      </c>
      <c r="K13" s="537" t="str">
        <f>IF(E13="","",I13/(45+J13))</f>
        <v/>
      </c>
      <c r="L13" s="96"/>
      <c r="M13" s="186"/>
      <c r="N13" s="196" t="s">
        <v>39</v>
      </c>
      <c r="O13" s="413" t="str">
        <f>IF(COUNTA(F10:F99)=0,"",AVERAGE(F10:F99))</f>
        <v/>
      </c>
      <c r="P13" s="414" t="str">
        <f>IF(COUNTA(E10:E99)=0,"",(_xlfn.STDEV.P(E10:E99)))</f>
        <v/>
      </c>
      <c r="Q13" s="185"/>
    </row>
    <row r="14" spans="2:17" ht="14" customHeight="1" x14ac:dyDescent="0.15">
      <c r="B14" s="155"/>
      <c r="C14" s="155"/>
      <c r="D14" s="373">
        <v>1.4</v>
      </c>
      <c r="E14" s="365"/>
      <c r="F14" s="366"/>
      <c r="G14" s="251" t="str">
        <f t="shared" si="0"/>
        <v/>
      </c>
      <c r="I14" s="527"/>
      <c r="J14" s="530"/>
      <c r="K14" s="533"/>
      <c r="L14" s="94"/>
      <c r="M14" s="186"/>
      <c r="N14" s="196" t="s">
        <v>35</v>
      </c>
      <c r="O14" s="413" t="str">
        <f>IF(COUNTA(E9:E98)=0,"",IFERROR(AVERAGE(G10:G99),""))</f>
        <v/>
      </c>
      <c r="P14" s="415" t="str">
        <f>IF(COUNTA(E9:E98)=0,"",IFERROR(STDEV(K10:K97),""))</f>
        <v/>
      </c>
      <c r="Q14" s="185"/>
    </row>
    <row r="15" spans="2:17" ht="14" customHeight="1" thickBot="1" x14ac:dyDescent="0.2">
      <c r="B15" s="155"/>
      <c r="C15" s="283"/>
      <c r="D15" s="374">
        <v>1</v>
      </c>
      <c r="E15" s="367"/>
      <c r="F15" s="368"/>
      <c r="G15" s="369" t="str">
        <f t="shared" si="0"/>
        <v/>
      </c>
      <c r="I15" s="528"/>
      <c r="J15" s="531"/>
      <c r="K15" s="534"/>
      <c r="L15" s="94"/>
      <c r="M15" s="186"/>
      <c r="N15" s="192"/>
      <c r="O15" s="191"/>
      <c r="P15" s="193"/>
      <c r="Q15" s="185"/>
    </row>
    <row r="16" spans="2:17" ht="14" customHeight="1" x14ac:dyDescent="0.15">
      <c r="B16" s="155">
        <v>3</v>
      </c>
      <c r="C16" s="377"/>
      <c r="D16" s="372">
        <v>1.8</v>
      </c>
      <c r="E16" s="370"/>
      <c r="F16" s="363"/>
      <c r="G16" s="364" t="str">
        <f t="shared" si="0"/>
        <v/>
      </c>
      <c r="I16" s="535" t="str">
        <f>IF(E16="","",SUM(E16:E18))</f>
        <v/>
      </c>
      <c r="J16" s="536" t="str">
        <f>IF(E16="","",SUM(F16:F18))</f>
        <v/>
      </c>
      <c r="K16" s="537" t="str">
        <f>IF(E16="","",I16/(45+J16))</f>
        <v/>
      </c>
      <c r="L16" s="96"/>
      <c r="M16" s="186"/>
      <c r="N16" s="195" t="s">
        <v>49</v>
      </c>
      <c r="O16" s="402">
        <f>COUNT(G12,G15,G18,G21,G24,G27,G30,G33,G36,G39,G42,G45,G48,G51,G54,G57,G60,G63,G66,G69,G72,G75,G78,G81,G84,G87,G90,G93,G96,G99)</f>
        <v>0</v>
      </c>
      <c r="P16" s="191"/>
      <c r="Q16" s="185"/>
    </row>
    <row r="17" spans="2:17" ht="14" customHeight="1" x14ac:dyDescent="0.15">
      <c r="B17" s="155"/>
      <c r="D17" s="373">
        <v>1.4</v>
      </c>
      <c r="E17" s="365"/>
      <c r="F17" s="366"/>
      <c r="G17" s="251" t="str">
        <f t="shared" si="0"/>
        <v/>
      </c>
      <c r="I17" s="527"/>
      <c r="J17" s="530"/>
      <c r="K17" s="533"/>
      <c r="L17" s="94"/>
      <c r="M17" s="187"/>
      <c r="N17" s="189"/>
      <c r="O17" s="190"/>
      <c r="P17" s="190"/>
      <c r="Q17" s="188"/>
    </row>
    <row r="18" spans="2:17" ht="14" customHeight="1" thickBot="1" x14ac:dyDescent="0.2">
      <c r="B18" s="155"/>
      <c r="C18" s="283"/>
      <c r="D18" s="374">
        <v>1</v>
      </c>
      <c r="E18" s="367"/>
      <c r="F18" s="368"/>
      <c r="G18" s="369" t="str">
        <f t="shared" si="0"/>
        <v/>
      </c>
      <c r="H18" s="83"/>
      <c r="I18" s="528"/>
      <c r="J18" s="531"/>
      <c r="K18" s="534"/>
      <c r="L18" s="94"/>
      <c r="N18" s="21"/>
    </row>
    <row r="19" spans="2:17" ht="14" customHeight="1" x14ac:dyDescent="0.15">
      <c r="B19" s="155">
        <v>4</v>
      </c>
      <c r="C19" s="377"/>
      <c r="D19" s="372">
        <v>1.8</v>
      </c>
      <c r="E19" s="370"/>
      <c r="F19" s="363"/>
      <c r="G19" s="364" t="str">
        <f t="shared" si="0"/>
        <v/>
      </c>
      <c r="I19" s="535" t="str">
        <f>IF(E19="","",SUM(E19:E21))</f>
        <v/>
      </c>
      <c r="J19" s="536" t="str">
        <f>IF(E19="","",SUM(F19:F21))</f>
        <v/>
      </c>
      <c r="K19" s="537" t="str">
        <f>IF(E19="","",I19/(45+J19))</f>
        <v/>
      </c>
      <c r="L19" s="96"/>
      <c r="M19" s="511" t="s">
        <v>99</v>
      </c>
      <c r="N19" s="512"/>
      <c r="O19" s="512"/>
      <c r="P19" s="512"/>
      <c r="Q19" s="513"/>
    </row>
    <row r="20" spans="2:17" ht="14" customHeight="1" x14ac:dyDescent="0.15">
      <c r="B20" s="155"/>
      <c r="C20" s="155"/>
      <c r="D20" s="373">
        <v>1.4</v>
      </c>
      <c r="E20" s="365"/>
      <c r="F20" s="366"/>
      <c r="G20" s="251" t="str">
        <f t="shared" si="0"/>
        <v/>
      </c>
      <c r="I20" s="527"/>
      <c r="J20" s="530"/>
      <c r="K20" s="533"/>
      <c r="L20" s="94"/>
      <c r="M20" s="514"/>
      <c r="N20" s="515"/>
      <c r="O20" s="515"/>
      <c r="P20" s="515"/>
      <c r="Q20" s="516"/>
    </row>
    <row r="21" spans="2:17" ht="14" customHeight="1" thickBot="1" x14ac:dyDescent="0.2">
      <c r="B21" s="155"/>
      <c r="C21" s="283"/>
      <c r="D21" s="374">
        <v>1</v>
      </c>
      <c r="E21" s="367"/>
      <c r="F21" s="368"/>
      <c r="G21" s="369" t="str">
        <f t="shared" si="0"/>
        <v/>
      </c>
      <c r="I21" s="528"/>
      <c r="J21" s="531"/>
      <c r="K21" s="534"/>
      <c r="L21" s="94"/>
      <c r="N21" s="21"/>
    </row>
    <row r="22" spans="2:17" ht="14" customHeight="1" x14ac:dyDescent="0.15">
      <c r="B22" s="155">
        <v>5</v>
      </c>
      <c r="C22" s="377"/>
      <c r="D22" s="372">
        <v>1.8</v>
      </c>
      <c r="E22" s="370"/>
      <c r="F22" s="363"/>
      <c r="G22" s="364" t="str">
        <f t="shared" si="0"/>
        <v/>
      </c>
      <c r="I22" s="535" t="str">
        <f>IF(E22="","",SUM(E22:E24))</f>
        <v/>
      </c>
      <c r="J22" s="536" t="str">
        <f>IF(E22="","",SUM(F22:F24))</f>
        <v/>
      </c>
      <c r="K22" s="537" t="str">
        <f>IF(E22="","",I22/(45+J22))</f>
        <v/>
      </c>
      <c r="L22" s="96"/>
      <c r="N22" s="21"/>
    </row>
    <row r="23" spans="2:17" ht="14" customHeight="1" x14ac:dyDescent="0.15">
      <c r="B23" s="155"/>
      <c r="C23" s="155"/>
      <c r="D23" s="373">
        <v>1.4</v>
      </c>
      <c r="E23" s="365"/>
      <c r="F23" s="366"/>
      <c r="G23" s="251" t="str">
        <f t="shared" si="0"/>
        <v/>
      </c>
      <c r="I23" s="527"/>
      <c r="J23" s="530"/>
      <c r="K23" s="533"/>
      <c r="L23" s="94"/>
      <c r="N23" s="21"/>
    </row>
    <row r="24" spans="2:17" ht="14" customHeight="1" thickBot="1" x14ac:dyDescent="0.2">
      <c r="B24" s="155"/>
      <c r="C24" s="283"/>
      <c r="D24" s="374">
        <v>1</v>
      </c>
      <c r="E24" s="367"/>
      <c r="F24" s="368"/>
      <c r="G24" s="369" t="str">
        <f t="shared" si="0"/>
        <v/>
      </c>
      <c r="I24" s="528"/>
      <c r="J24" s="531"/>
      <c r="K24" s="534"/>
      <c r="L24" s="94"/>
      <c r="N24" s="21"/>
    </row>
    <row r="25" spans="2:17" ht="14" customHeight="1" x14ac:dyDescent="0.15">
      <c r="B25" s="155">
        <v>6</v>
      </c>
      <c r="C25" s="377"/>
      <c r="D25" s="372">
        <v>1.8</v>
      </c>
      <c r="E25" s="370"/>
      <c r="F25" s="363"/>
      <c r="G25" s="364" t="str">
        <f t="shared" si="0"/>
        <v/>
      </c>
      <c r="I25" s="535" t="str">
        <f>IF(E25="","",SUM(E25:E27))</f>
        <v/>
      </c>
      <c r="J25" s="536" t="str">
        <f>IF(E25="","",SUM(F25:F27))</f>
        <v/>
      </c>
      <c r="K25" s="537" t="str">
        <f>IF(E25="","",I25/(45+J25))</f>
        <v/>
      </c>
      <c r="L25" s="96"/>
      <c r="N25" s="21"/>
    </row>
    <row r="26" spans="2:17" ht="14" customHeight="1" x14ac:dyDescent="0.15">
      <c r="B26" s="155"/>
      <c r="C26" s="155"/>
      <c r="D26" s="373">
        <v>1.4</v>
      </c>
      <c r="E26" s="365"/>
      <c r="F26" s="366"/>
      <c r="G26" s="251" t="str">
        <f t="shared" si="0"/>
        <v/>
      </c>
      <c r="I26" s="527"/>
      <c r="J26" s="530"/>
      <c r="K26" s="533"/>
      <c r="L26" s="94"/>
      <c r="N26" s="21"/>
    </row>
    <row r="27" spans="2:17" ht="14" customHeight="1" thickBot="1" x14ac:dyDescent="0.2">
      <c r="B27" s="155"/>
      <c r="C27" s="283"/>
      <c r="D27" s="374">
        <v>1</v>
      </c>
      <c r="E27" s="367"/>
      <c r="F27" s="368"/>
      <c r="G27" s="369" t="str">
        <f t="shared" si="0"/>
        <v/>
      </c>
      <c r="H27" s="85"/>
      <c r="I27" s="528"/>
      <c r="J27" s="531"/>
      <c r="K27" s="534"/>
      <c r="L27" s="94"/>
      <c r="N27" s="21"/>
    </row>
    <row r="28" spans="2:17" ht="14" customHeight="1" x14ac:dyDescent="0.15">
      <c r="B28" s="155">
        <v>7</v>
      </c>
      <c r="C28" s="377"/>
      <c r="D28" s="372">
        <v>1.8</v>
      </c>
      <c r="E28" s="370"/>
      <c r="F28" s="363"/>
      <c r="G28" s="364" t="str">
        <f t="shared" si="0"/>
        <v/>
      </c>
      <c r="I28" s="535" t="str">
        <f>IF(E28="","",SUM(E28:E30))</f>
        <v/>
      </c>
      <c r="J28" s="536" t="str">
        <f>IF(E28="","",SUM(F28:F30))</f>
        <v/>
      </c>
      <c r="K28" s="537" t="str">
        <f>IF(E28="","",I28/(45+J28))</f>
        <v/>
      </c>
      <c r="L28" s="96"/>
      <c r="N28" s="21"/>
    </row>
    <row r="29" spans="2:17" ht="14" customHeight="1" x14ac:dyDescent="0.15">
      <c r="B29" s="155"/>
      <c r="C29" s="155"/>
      <c r="D29" s="373">
        <v>1.4</v>
      </c>
      <c r="E29" s="365"/>
      <c r="F29" s="366"/>
      <c r="G29" s="251" t="str">
        <f t="shared" si="0"/>
        <v/>
      </c>
      <c r="H29" s="85"/>
      <c r="I29" s="527"/>
      <c r="J29" s="530"/>
      <c r="K29" s="533"/>
      <c r="L29" s="94"/>
      <c r="N29" s="21"/>
    </row>
    <row r="30" spans="2:17" ht="14" customHeight="1" thickBot="1" x14ac:dyDescent="0.2">
      <c r="B30" s="155"/>
      <c r="C30" s="283"/>
      <c r="D30" s="374">
        <v>1</v>
      </c>
      <c r="E30" s="367"/>
      <c r="F30" s="368"/>
      <c r="G30" s="369" t="str">
        <f t="shared" si="0"/>
        <v/>
      </c>
      <c r="H30" s="85"/>
      <c r="I30" s="528"/>
      <c r="J30" s="531"/>
      <c r="K30" s="534"/>
      <c r="L30" s="94"/>
      <c r="N30" s="21"/>
    </row>
    <row r="31" spans="2:17" ht="14" customHeight="1" x14ac:dyDescent="0.15">
      <c r="B31" s="155">
        <v>8</v>
      </c>
      <c r="C31" s="377"/>
      <c r="D31" s="372">
        <v>1.8</v>
      </c>
      <c r="E31" s="370"/>
      <c r="F31" s="363"/>
      <c r="G31" s="364" t="str">
        <f t="shared" si="0"/>
        <v/>
      </c>
      <c r="I31" s="535" t="str">
        <f>IF(E31="","",SUM(E31:E33))</f>
        <v/>
      </c>
      <c r="J31" s="536" t="str">
        <f>IF(E31="","",SUM(F31:F33))</f>
        <v/>
      </c>
      <c r="K31" s="537" t="str">
        <f>IF(E31="","",I31/(45+J31))</f>
        <v/>
      </c>
      <c r="L31" s="96"/>
      <c r="N31" s="21"/>
    </row>
    <row r="32" spans="2:17" ht="14" customHeight="1" x14ac:dyDescent="0.15">
      <c r="B32" s="155"/>
      <c r="C32" s="155"/>
      <c r="D32" s="373">
        <v>1.4</v>
      </c>
      <c r="E32" s="365"/>
      <c r="F32" s="366"/>
      <c r="G32" s="251" t="str">
        <f t="shared" si="0"/>
        <v/>
      </c>
      <c r="I32" s="527"/>
      <c r="J32" s="530"/>
      <c r="K32" s="533"/>
      <c r="L32" s="94"/>
      <c r="N32" s="21"/>
    </row>
    <row r="33" spans="2:14" ht="14" customHeight="1" thickBot="1" x14ac:dyDescent="0.2">
      <c r="B33" s="155"/>
      <c r="C33" s="283"/>
      <c r="D33" s="374">
        <v>1</v>
      </c>
      <c r="E33" s="367"/>
      <c r="F33" s="368"/>
      <c r="G33" s="369" t="str">
        <f t="shared" si="0"/>
        <v/>
      </c>
      <c r="I33" s="528"/>
      <c r="J33" s="531"/>
      <c r="K33" s="534"/>
      <c r="L33" s="94"/>
      <c r="N33" s="21"/>
    </row>
    <row r="34" spans="2:14" ht="14" customHeight="1" x14ac:dyDescent="0.15">
      <c r="B34" s="155">
        <v>9</v>
      </c>
      <c r="C34" s="377"/>
      <c r="D34" s="372">
        <v>1.8</v>
      </c>
      <c r="E34" s="370"/>
      <c r="F34" s="363"/>
      <c r="G34" s="364" t="str">
        <f t="shared" si="0"/>
        <v/>
      </c>
      <c r="I34" s="535" t="str">
        <f>IF(E34="","",SUM(E34:E36))</f>
        <v/>
      </c>
      <c r="J34" s="536" t="str">
        <f>IF(E34="","",SUM(F34:F36))</f>
        <v/>
      </c>
      <c r="K34" s="537" t="str">
        <f>IF(E34="","",I34/(45+J34))</f>
        <v/>
      </c>
      <c r="L34" s="96"/>
      <c r="N34" s="21"/>
    </row>
    <row r="35" spans="2:14" ht="12" customHeight="1" x14ac:dyDescent="0.15">
      <c r="B35" s="155"/>
      <c r="C35" s="155"/>
      <c r="D35" s="373">
        <v>1.4</v>
      </c>
      <c r="E35" s="365"/>
      <c r="F35" s="366"/>
      <c r="G35" s="251" t="str">
        <f t="shared" si="0"/>
        <v/>
      </c>
      <c r="I35" s="527"/>
      <c r="J35" s="530"/>
      <c r="K35" s="533"/>
      <c r="L35" s="94"/>
      <c r="N35" s="21"/>
    </row>
    <row r="36" spans="2:14" ht="13" customHeight="1" thickBot="1" x14ac:dyDescent="0.2">
      <c r="B36" s="155"/>
      <c r="C36" s="283"/>
      <c r="D36" s="374">
        <v>1</v>
      </c>
      <c r="E36" s="367"/>
      <c r="F36" s="368"/>
      <c r="G36" s="369" t="str">
        <f t="shared" si="0"/>
        <v/>
      </c>
      <c r="I36" s="528"/>
      <c r="J36" s="531"/>
      <c r="K36" s="534"/>
      <c r="L36" s="94"/>
      <c r="N36" s="21"/>
    </row>
    <row r="37" spans="2:14" ht="12" customHeight="1" x14ac:dyDescent="0.15">
      <c r="B37" s="155">
        <v>10</v>
      </c>
      <c r="C37" s="377"/>
      <c r="D37" s="372">
        <v>1.8</v>
      </c>
      <c r="E37" s="370"/>
      <c r="F37" s="363"/>
      <c r="G37" s="364" t="str">
        <f t="shared" si="0"/>
        <v/>
      </c>
      <c r="I37" s="535" t="str">
        <f>IF(E37="","",SUM(E37:E39))</f>
        <v/>
      </c>
      <c r="J37" s="536" t="str">
        <f>IF(E37="","",SUM(F37:F39))</f>
        <v/>
      </c>
      <c r="K37" s="537" t="str">
        <f>IF(E37="","",I37/(45+J37))</f>
        <v/>
      </c>
      <c r="L37" s="252"/>
      <c r="N37" s="21"/>
    </row>
    <row r="38" spans="2:14" ht="12" customHeight="1" x14ac:dyDescent="0.15">
      <c r="B38" s="155"/>
      <c r="C38" s="155"/>
      <c r="D38" s="373">
        <v>1.4</v>
      </c>
      <c r="E38" s="365"/>
      <c r="F38" s="366"/>
      <c r="G38" s="251" t="str">
        <f t="shared" si="0"/>
        <v/>
      </c>
      <c r="I38" s="527"/>
      <c r="J38" s="530"/>
      <c r="K38" s="533"/>
      <c r="L38" s="94"/>
      <c r="N38" s="21"/>
    </row>
    <row r="39" spans="2:14" ht="13" customHeight="1" thickBot="1" x14ac:dyDescent="0.2">
      <c r="B39" s="155"/>
      <c r="C39" s="283"/>
      <c r="D39" s="374">
        <v>1</v>
      </c>
      <c r="E39" s="367"/>
      <c r="F39" s="368"/>
      <c r="G39" s="369" t="str">
        <f t="shared" si="0"/>
        <v/>
      </c>
      <c r="I39" s="528"/>
      <c r="J39" s="531"/>
      <c r="K39" s="534"/>
      <c r="L39" s="94"/>
      <c r="N39" s="21"/>
    </row>
    <row r="40" spans="2:14" ht="12" customHeight="1" x14ac:dyDescent="0.15">
      <c r="B40" s="155">
        <v>11</v>
      </c>
      <c r="C40" s="377"/>
      <c r="D40" s="372">
        <v>1.8</v>
      </c>
      <c r="E40" s="370"/>
      <c r="F40" s="363"/>
      <c r="G40" s="364" t="str">
        <f t="shared" si="0"/>
        <v/>
      </c>
      <c r="I40" s="535" t="str">
        <f>IF(E40="","",SUM(E40:E42))</f>
        <v/>
      </c>
      <c r="J40" s="536" t="str">
        <f>IF(E40="","",SUM(F40:F42))</f>
        <v/>
      </c>
      <c r="K40" s="537" t="str">
        <f>IF(E40="","",I40/(45+J40))</f>
        <v/>
      </c>
      <c r="L40" s="96"/>
      <c r="N40" s="21"/>
    </row>
    <row r="41" spans="2:14" ht="12" customHeight="1" x14ac:dyDescent="0.15">
      <c r="B41" s="155"/>
      <c r="C41" s="155"/>
      <c r="D41" s="373">
        <v>1.4</v>
      </c>
      <c r="E41" s="365"/>
      <c r="F41" s="366"/>
      <c r="G41" s="251" t="str">
        <f t="shared" si="0"/>
        <v/>
      </c>
      <c r="I41" s="527"/>
      <c r="J41" s="530"/>
      <c r="K41" s="533"/>
      <c r="L41" s="94"/>
      <c r="N41" s="21"/>
    </row>
    <row r="42" spans="2:14" ht="13" customHeight="1" thickBot="1" x14ac:dyDescent="0.2">
      <c r="B42" s="155"/>
      <c r="C42" s="283"/>
      <c r="D42" s="374">
        <v>1</v>
      </c>
      <c r="E42" s="367"/>
      <c r="F42" s="368"/>
      <c r="G42" s="369" t="str">
        <f t="shared" si="0"/>
        <v/>
      </c>
      <c r="I42" s="528"/>
      <c r="J42" s="531"/>
      <c r="K42" s="534"/>
      <c r="L42" s="94"/>
      <c r="N42" s="21"/>
    </row>
    <row r="43" spans="2:14" ht="12" customHeight="1" x14ac:dyDescent="0.15">
      <c r="B43" s="155">
        <v>12</v>
      </c>
      <c r="C43" s="377"/>
      <c r="D43" s="372">
        <v>1.8</v>
      </c>
      <c r="E43" s="370"/>
      <c r="F43" s="363"/>
      <c r="G43" s="364" t="str">
        <f t="shared" si="0"/>
        <v/>
      </c>
      <c r="I43" s="535" t="str">
        <f>IF(E43="","",SUM(E43:E45))</f>
        <v/>
      </c>
      <c r="J43" s="536" t="str">
        <f>IF(E43="","",SUM(F43:F45))</f>
        <v/>
      </c>
      <c r="K43" s="537" t="str">
        <f>IF(E43="","",I43/(45+J43))</f>
        <v/>
      </c>
      <c r="L43" s="96"/>
      <c r="N43" s="21"/>
    </row>
    <row r="44" spans="2:14" ht="12" customHeight="1" x14ac:dyDescent="0.15">
      <c r="B44" s="155"/>
      <c r="C44" s="155"/>
      <c r="D44" s="373">
        <v>1.4</v>
      </c>
      <c r="E44" s="365"/>
      <c r="F44" s="366"/>
      <c r="G44" s="251" t="str">
        <f t="shared" si="0"/>
        <v/>
      </c>
      <c r="I44" s="527"/>
      <c r="J44" s="530"/>
      <c r="K44" s="533"/>
      <c r="L44" s="94"/>
      <c r="N44" s="21"/>
    </row>
    <row r="45" spans="2:14" ht="13" customHeight="1" thickBot="1" x14ac:dyDescent="0.2">
      <c r="B45" s="155"/>
      <c r="C45" s="283"/>
      <c r="D45" s="374">
        <v>1</v>
      </c>
      <c r="E45" s="367"/>
      <c r="F45" s="368"/>
      <c r="G45" s="369" t="str">
        <f t="shared" si="0"/>
        <v/>
      </c>
      <c r="I45" s="528"/>
      <c r="J45" s="531"/>
      <c r="K45" s="534"/>
      <c r="L45" s="94"/>
      <c r="N45" s="21"/>
    </row>
    <row r="46" spans="2:14" ht="12" customHeight="1" x14ac:dyDescent="0.15">
      <c r="B46" s="155">
        <v>13</v>
      </c>
      <c r="C46" s="377"/>
      <c r="D46" s="372">
        <v>1.8</v>
      </c>
      <c r="E46" s="370"/>
      <c r="F46" s="363"/>
      <c r="G46" s="364" t="str">
        <f t="shared" si="0"/>
        <v/>
      </c>
      <c r="I46" s="535" t="str">
        <f>IF(E46="","",SUM(E46:E48))</f>
        <v/>
      </c>
      <c r="J46" s="536" t="str">
        <f>IF(E46="","",SUM(F46:F48))</f>
        <v/>
      </c>
      <c r="K46" s="537" t="str">
        <f>IF(E46="","",I46/(45+J46))</f>
        <v/>
      </c>
      <c r="L46" s="96"/>
      <c r="N46" s="21"/>
    </row>
    <row r="47" spans="2:14" ht="12" customHeight="1" x14ac:dyDescent="0.15">
      <c r="B47" s="155"/>
      <c r="C47" s="155"/>
      <c r="D47" s="373">
        <v>1.4</v>
      </c>
      <c r="E47" s="365"/>
      <c r="F47" s="366"/>
      <c r="G47" s="251" t="str">
        <f t="shared" si="0"/>
        <v/>
      </c>
      <c r="I47" s="527"/>
      <c r="J47" s="530"/>
      <c r="K47" s="533"/>
      <c r="L47" s="94"/>
      <c r="N47" s="21"/>
    </row>
    <row r="48" spans="2:14" ht="13" customHeight="1" thickBot="1" x14ac:dyDescent="0.2">
      <c r="B48" s="155"/>
      <c r="C48" s="283"/>
      <c r="D48" s="374">
        <v>1</v>
      </c>
      <c r="E48" s="367"/>
      <c r="F48" s="368"/>
      <c r="G48" s="369" t="str">
        <f t="shared" si="0"/>
        <v/>
      </c>
      <c r="I48" s="528"/>
      <c r="J48" s="531"/>
      <c r="K48" s="534"/>
      <c r="L48" s="94"/>
      <c r="N48" s="21"/>
    </row>
    <row r="49" spans="2:14" ht="12" customHeight="1" x14ac:dyDescent="0.15">
      <c r="B49" s="155">
        <v>14</v>
      </c>
      <c r="C49" s="377"/>
      <c r="D49" s="372">
        <v>1.8</v>
      </c>
      <c r="E49" s="370"/>
      <c r="F49" s="363"/>
      <c r="G49" s="364" t="str">
        <f t="shared" si="0"/>
        <v/>
      </c>
      <c r="I49" s="535" t="str">
        <f>IF(E49="","",SUM(E49:E51))</f>
        <v/>
      </c>
      <c r="J49" s="536" t="str">
        <f>IF(E49="","",SUM(F49:F51))</f>
        <v/>
      </c>
      <c r="K49" s="537" t="str">
        <f>IF(E49="","",I49/(45+J49))</f>
        <v/>
      </c>
      <c r="L49" s="96"/>
      <c r="N49" s="21"/>
    </row>
    <row r="50" spans="2:14" ht="12" customHeight="1" x14ac:dyDescent="0.15">
      <c r="B50" s="155"/>
      <c r="C50" s="155"/>
      <c r="D50" s="373">
        <v>1.4</v>
      </c>
      <c r="E50" s="365"/>
      <c r="F50" s="366"/>
      <c r="G50" s="251" t="str">
        <f t="shared" si="0"/>
        <v/>
      </c>
      <c r="I50" s="527"/>
      <c r="J50" s="530"/>
      <c r="K50" s="533"/>
      <c r="L50" s="94"/>
      <c r="N50" s="21"/>
    </row>
    <row r="51" spans="2:14" ht="13" customHeight="1" thickBot="1" x14ac:dyDescent="0.2">
      <c r="B51" s="155"/>
      <c r="C51" s="283"/>
      <c r="D51" s="374">
        <v>1</v>
      </c>
      <c r="E51" s="367"/>
      <c r="F51" s="368"/>
      <c r="G51" s="369" t="str">
        <f t="shared" si="0"/>
        <v/>
      </c>
      <c r="I51" s="528"/>
      <c r="J51" s="531"/>
      <c r="K51" s="534"/>
      <c r="L51" s="94"/>
      <c r="N51" s="21"/>
    </row>
    <row r="52" spans="2:14" ht="12" customHeight="1" x14ac:dyDescent="0.15">
      <c r="B52" s="155">
        <v>15</v>
      </c>
      <c r="C52" s="377"/>
      <c r="D52" s="372">
        <v>1.8</v>
      </c>
      <c r="E52" s="370"/>
      <c r="F52" s="363"/>
      <c r="G52" s="364" t="str">
        <f t="shared" si="0"/>
        <v/>
      </c>
      <c r="I52" s="535" t="str">
        <f>IF(E52="","",SUM(E52:E54))</f>
        <v/>
      </c>
      <c r="J52" s="536" t="str">
        <f>IF(E52="","",SUM(F52:F54))</f>
        <v/>
      </c>
      <c r="K52" s="537" t="str">
        <f>IF(E52="","",I52/(45+J52))</f>
        <v/>
      </c>
      <c r="L52" s="96"/>
      <c r="N52" s="21"/>
    </row>
    <row r="53" spans="2:14" ht="12" customHeight="1" x14ac:dyDescent="0.15">
      <c r="B53" s="155"/>
      <c r="C53" s="155"/>
      <c r="D53" s="373">
        <v>1.4</v>
      </c>
      <c r="E53" s="365"/>
      <c r="F53" s="366"/>
      <c r="G53" s="251" t="str">
        <f t="shared" si="0"/>
        <v/>
      </c>
      <c r="I53" s="527"/>
      <c r="J53" s="530"/>
      <c r="K53" s="533"/>
      <c r="L53" s="94"/>
      <c r="N53" s="21"/>
    </row>
    <row r="54" spans="2:14" ht="13" customHeight="1" thickBot="1" x14ac:dyDescent="0.2">
      <c r="B54" s="155"/>
      <c r="C54" s="283"/>
      <c r="D54" s="374">
        <v>1</v>
      </c>
      <c r="E54" s="367"/>
      <c r="F54" s="368"/>
      <c r="G54" s="369" t="str">
        <f t="shared" si="0"/>
        <v/>
      </c>
      <c r="I54" s="528"/>
      <c r="J54" s="531"/>
      <c r="K54" s="534"/>
      <c r="L54" s="94"/>
      <c r="N54" s="21"/>
    </row>
    <row r="55" spans="2:14" ht="12" customHeight="1" x14ac:dyDescent="0.15">
      <c r="B55" s="155">
        <v>16</v>
      </c>
      <c r="C55" s="377"/>
      <c r="D55" s="372">
        <v>1.8</v>
      </c>
      <c r="E55" s="370"/>
      <c r="F55" s="363"/>
      <c r="G55" s="364" t="str">
        <f t="shared" si="0"/>
        <v/>
      </c>
      <c r="I55" s="535" t="str">
        <f>IF(E55="","",SUM(E55:E57))</f>
        <v/>
      </c>
      <c r="J55" s="536" t="str">
        <f>IF(E55="","",SUM(F55:F57))</f>
        <v/>
      </c>
      <c r="K55" s="537" t="str">
        <f>IF(E55="","",I55/(45+J55))</f>
        <v/>
      </c>
      <c r="L55" s="96"/>
      <c r="N55" s="21"/>
    </row>
    <row r="56" spans="2:14" ht="12" customHeight="1" x14ac:dyDescent="0.15">
      <c r="B56" s="155"/>
      <c r="C56" s="155"/>
      <c r="D56" s="373">
        <v>1.4</v>
      </c>
      <c r="E56" s="365"/>
      <c r="F56" s="366"/>
      <c r="G56" s="251" t="str">
        <f t="shared" si="0"/>
        <v/>
      </c>
      <c r="I56" s="527"/>
      <c r="J56" s="530"/>
      <c r="K56" s="533"/>
      <c r="L56" s="94"/>
      <c r="N56" s="21"/>
    </row>
    <row r="57" spans="2:14" ht="13" customHeight="1" thickBot="1" x14ac:dyDescent="0.2">
      <c r="B57" s="155"/>
      <c r="C57" s="283"/>
      <c r="D57" s="374">
        <v>1</v>
      </c>
      <c r="E57" s="367"/>
      <c r="F57" s="368"/>
      <c r="G57" s="369" t="str">
        <f t="shared" si="0"/>
        <v/>
      </c>
      <c r="I57" s="528"/>
      <c r="J57" s="531"/>
      <c r="K57" s="534"/>
      <c r="L57" s="94"/>
      <c r="N57" s="21"/>
    </row>
    <row r="58" spans="2:14" ht="12" customHeight="1" x14ac:dyDescent="0.15">
      <c r="B58" s="155">
        <v>17</v>
      </c>
      <c r="C58" s="377"/>
      <c r="D58" s="372">
        <v>1.8</v>
      </c>
      <c r="E58" s="370"/>
      <c r="F58" s="363"/>
      <c r="G58" s="364" t="str">
        <f t="shared" si="0"/>
        <v/>
      </c>
      <c r="I58" s="535" t="str">
        <f>IF(E58="","",SUM(E58:E60))</f>
        <v/>
      </c>
      <c r="J58" s="536" t="str">
        <f>IF(E58="","",SUM(F58:F60))</f>
        <v/>
      </c>
      <c r="K58" s="537" t="str">
        <f>IF(E58="","",I58/(45+J58))</f>
        <v/>
      </c>
      <c r="L58" s="96"/>
      <c r="N58" s="21"/>
    </row>
    <row r="59" spans="2:14" ht="12" customHeight="1" x14ac:dyDescent="0.15">
      <c r="B59" s="155"/>
      <c r="C59" s="155"/>
      <c r="D59" s="373">
        <v>1.4</v>
      </c>
      <c r="E59" s="365"/>
      <c r="F59" s="366"/>
      <c r="G59" s="251" t="str">
        <f t="shared" si="0"/>
        <v/>
      </c>
      <c r="I59" s="527"/>
      <c r="J59" s="530"/>
      <c r="K59" s="533"/>
      <c r="L59" s="94"/>
      <c r="N59" s="21"/>
    </row>
    <row r="60" spans="2:14" ht="13" customHeight="1" thickBot="1" x14ac:dyDescent="0.2">
      <c r="B60" s="155"/>
      <c r="C60" s="283"/>
      <c r="D60" s="374">
        <v>1</v>
      </c>
      <c r="E60" s="367"/>
      <c r="F60" s="368"/>
      <c r="G60" s="369" t="str">
        <f t="shared" si="0"/>
        <v/>
      </c>
      <c r="I60" s="528"/>
      <c r="J60" s="531"/>
      <c r="K60" s="534"/>
      <c r="L60" s="94"/>
      <c r="N60" s="21"/>
    </row>
    <row r="61" spans="2:14" ht="12" customHeight="1" x14ac:dyDescent="0.15">
      <c r="B61" s="155">
        <v>18</v>
      </c>
      <c r="C61" s="377"/>
      <c r="D61" s="372">
        <v>1.8</v>
      </c>
      <c r="E61" s="370"/>
      <c r="F61" s="363"/>
      <c r="G61" s="364" t="str">
        <f t="shared" si="0"/>
        <v/>
      </c>
      <c r="I61" s="535" t="str">
        <f>IF(E61="","",SUM(E61:E63))</f>
        <v/>
      </c>
      <c r="J61" s="536" t="str">
        <f>IF(E61="","",SUM(F61:F63))</f>
        <v/>
      </c>
      <c r="K61" s="537" t="str">
        <f>IF(E61="","",I61/(45+J61))</f>
        <v/>
      </c>
      <c r="L61" s="96"/>
      <c r="N61" s="21"/>
    </row>
    <row r="62" spans="2:14" ht="12" customHeight="1" x14ac:dyDescent="0.15">
      <c r="B62" s="155"/>
      <c r="C62" s="155"/>
      <c r="D62" s="373">
        <v>1.4</v>
      </c>
      <c r="E62" s="365"/>
      <c r="F62" s="366"/>
      <c r="G62" s="251" t="str">
        <f t="shared" si="0"/>
        <v/>
      </c>
      <c r="I62" s="527"/>
      <c r="J62" s="530"/>
      <c r="K62" s="533"/>
      <c r="L62" s="94"/>
      <c r="N62" s="21"/>
    </row>
    <row r="63" spans="2:14" ht="13" customHeight="1" thickBot="1" x14ac:dyDescent="0.2">
      <c r="B63" s="155"/>
      <c r="C63" s="283"/>
      <c r="D63" s="374">
        <v>1</v>
      </c>
      <c r="E63" s="367"/>
      <c r="F63" s="368"/>
      <c r="G63" s="369" t="str">
        <f t="shared" si="0"/>
        <v/>
      </c>
      <c r="I63" s="528"/>
      <c r="J63" s="531"/>
      <c r="K63" s="534"/>
      <c r="L63" s="94"/>
      <c r="N63" s="21"/>
    </row>
    <row r="64" spans="2:14" ht="12" customHeight="1" x14ac:dyDescent="0.15">
      <c r="B64" s="155">
        <v>19</v>
      </c>
      <c r="C64" s="377"/>
      <c r="D64" s="372">
        <v>1.8</v>
      </c>
      <c r="E64" s="370"/>
      <c r="F64" s="363"/>
      <c r="G64" s="364" t="str">
        <f t="shared" si="0"/>
        <v/>
      </c>
      <c r="I64" s="535" t="str">
        <f>IF(E64="","",SUM(E64:E66))</f>
        <v/>
      </c>
      <c r="J64" s="536" t="str">
        <f>IF(E64="","",SUM(F64:F66))</f>
        <v/>
      </c>
      <c r="K64" s="537" t="str">
        <f>IF(E64="","",I64/(45+J64))</f>
        <v/>
      </c>
      <c r="L64" s="96"/>
      <c r="N64" s="21"/>
    </row>
    <row r="65" spans="2:14" ht="12" customHeight="1" x14ac:dyDescent="0.15">
      <c r="B65" s="155"/>
      <c r="D65" s="373">
        <v>1.4</v>
      </c>
      <c r="E65" s="365"/>
      <c r="F65" s="366"/>
      <c r="G65" s="251" t="str">
        <f t="shared" si="0"/>
        <v/>
      </c>
      <c r="I65" s="527"/>
      <c r="J65" s="530"/>
      <c r="K65" s="533"/>
      <c r="L65" s="94"/>
      <c r="N65" s="21"/>
    </row>
    <row r="66" spans="2:14" ht="13" customHeight="1" thickBot="1" x14ac:dyDescent="0.2">
      <c r="B66" s="155"/>
      <c r="C66" s="283"/>
      <c r="D66" s="374">
        <v>1</v>
      </c>
      <c r="E66" s="367"/>
      <c r="F66" s="368"/>
      <c r="G66" s="369" t="str">
        <f t="shared" si="0"/>
        <v/>
      </c>
      <c r="I66" s="528"/>
      <c r="J66" s="531"/>
      <c r="K66" s="534"/>
      <c r="L66" s="94"/>
      <c r="N66" s="21"/>
    </row>
    <row r="67" spans="2:14" ht="12" customHeight="1" x14ac:dyDescent="0.15">
      <c r="B67" s="155">
        <v>20</v>
      </c>
      <c r="C67" s="377"/>
      <c r="D67" s="372">
        <v>1.8</v>
      </c>
      <c r="E67" s="370"/>
      <c r="F67" s="363"/>
      <c r="G67" s="364" t="str">
        <f t="shared" si="0"/>
        <v/>
      </c>
      <c r="I67" s="535" t="str">
        <f>IF(E67="","",SUM(E67:E69))</f>
        <v/>
      </c>
      <c r="J67" s="536" t="str">
        <f>IF(E67="","",SUM(F67:F69))</f>
        <v/>
      </c>
      <c r="K67" s="537" t="str">
        <f>IF(E67="","",I67/(45+J67))</f>
        <v/>
      </c>
      <c r="L67" s="96"/>
      <c r="N67" s="21"/>
    </row>
    <row r="68" spans="2:14" ht="12" customHeight="1" x14ac:dyDescent="0.15">
      <c r="B68" s="155"/>
      <c r="C68" s="155"/>
      <c r="D68" s="373">
        <v>1.4</v>
      </c>
      <c r="E68" s="365"/>
      <c r="F68" s="366"/>
      <c r="G68" s="251" t="str">
        <f t="shared" si="0"/>
        <v/>
      </c>
      <c r="I68" s="527"/>
      <c r="J68" s="530"/>
      <c r="K68" s="533"/>
      <c r="L68" s="94"/>
      <c r="N68" s="21"/>
    </row>
    <row r="69" spans="2:14" ht="13" customHeight="1" thickBot="1" x14ac:dyDescent="0.2">
      <c r="B69" s="155"/>
      <c r="C69" s="283"/>
      <c r="D69" s="374">
        <v>1</v>
      </c>
      <c r="E69" s="367"/>
      <c r="F69" s="368"/>
      <c r="G69" s="369" t="str">
        <f t="shared" si="0"/>
        <v/>
      </c>
      <c r="I69" s="528"/>
      <c r="J69" s="531"/>
      <c r="K69" s="534"/>
      <c r="L69" s="94"/>
      <c r="N69" s="21"/>
    </row>
    <row r="70" spans="2:14" ht="12" customHeight="1" x14ac:dyDescent="0.15">
      <c r="B70" s="155">
        <v>21</v>
      </c>
      <c r="C70" s="377"/>
      <c r="D70" s="372">
        <v>1.8</v>
      </c>
      <c r="E70" s="370"/>
      <c r="F70" s="363"/>
      <c r="G70" s="364" t="str">
        <f t="shared" si="0"/>
        <v/>
      </c>
      <c r="I70" s="535" t="str">
        <f>IF(E70="","",SUM(E70:E72))</f>
        <v/>
      </c>
      <c r="J70" s="536" t="str">
        <f>IF(E70="","",SUM(F70:F72))</f>
        <v/>
      </c>
      <c r="K70" s="537" t="str">
        <f>IF(E70="","",I70/(45+J70))</f>
        <v/>
      </c>
      <c r="L70" s="96"/>
      <c r="N70" s="21"/>
    </row>
    <row r="71" spans="2:14" ht="12" customHeight="1" x14ac:dyDescent="0.15">
      <c r="B71" s="155"/>
      <c r="C71" s="155"/>
      <c r="D71" s="373">
        <v>1.4</v>
      </c>
      <c r="E71" s="365"/>
      <c r="F71" s="366"/>
      <c r="G71" s="251" t="str">
        <f t="shared" si="0"/>
        <v/>
      </c>
      <c r="I71" s="527"/>
      <c r="J71" s="530"/>
      <c r="K71" s="533"/>
      <c r="L71" s="94"/>
      <c r="N71" s="21"/>
    </row>
    <row r="72" spans="2:14" ht="13" customHeight="1" thickBot="1" x14ac:dyDescent="0.2">
      <c r="B72" s="155"/>
      <c r="C72" s="283"/>
      <c r="D72" s="374">
        <v>1</v>
      </c>
      <c r="E72" s="367"/>
      <c r="F72" s="368"/>
      <c r="G72" s="369" t="str">
        <f t="shared" si="0"/>
        <v/>
      </c>
      <c r="I72" s="528"/>
      <c r="J72" s="531"/>
      <c r="K72" s="534"/>
      <c r="L72" s="94"/>
      <c r="N72" s="21"/>
    </row>
    <row r="73" spans="2:14" ht="12" customHeight="1" x14ac:dyDescent="0.15">
      <c r="B73" s="155">
        <v>22</v>
      </c>
      <c r="C73" s="377"/>
      <c r="D73" s="372">
        <v>1.8</v>
      </c>
      <c r="E73" s="370"/>
      <c r="F73" s="363"/>
      <c r="G73" s="364" t="str">
        <f t="shared" si="0"/>
        <v/>
      </c>
      <c r="I73" s="535" t="str">
        <f>IF(E73="","",SUM(E73:E75))</f>
        <v/>
      </c>
      <c r="J73" s="536" t="str">
        <f>IF(E73="","",SUM(F73:F75))</f>
        <v/>
      </c>
      <c r="K73" s="537" t="str">
        <f>IF(E73="","",I73/(45+J73))</f>
        <v/>
      </c>
      <c r="L73" s="96"/>
      <c r="N73" s="21"/>
    </row>
    <row r="74" spans="2:14" ht="12" customHeight="1" x14ac:dyDescent="0.15">
      <c r="B74" s="155"/>
      <c r="C74" s="155"/>
      <c r="D74" s="373">
        <v>1.4</v>
      </c>
      <c r="E74" s="365"/>
      <c r="F74" s="366"/>
      <c r="G74" s="251" t="str">
        <f t="shared" si="0"/>
        <v/>
      </c>
      <c r="I74" s="527"/>
      <c r="J74" s="530"/>
      <c r="K74" s="533"/>
      <c r="L74" s="94"/>
      <c r="N74" s="21"/>
    </row>
    <row r="75" spans="2:14" ht="13" customHeight="1" thickBot="1" x14ac:dyDescent="0.2">
      <c r="B75" s="155"/>
      <c r="C75" s="283"/>
      <c r="D75" s="374">
        <v>1</v>
      </c>
      <c r="E75" s="367"/>
      <c r="F75" s="368"/>
      <c r="G75" s="369" t="str">
        <f t="shared" ref="G75:G99" si="1">IF(E75="","",E75/(15+F75))</f>
        <v/>
      </c>
      <c r="I75" s="528"/>
      <c r="J75" s="531"/>
      <c r="K75" s="534"/>
      <c r="L75" s="94"/>
      <c r="N75" s="21"/>
    </row>
    <row r="76" spans="2:14" ht="12" customHeight="1" x14ac:dyDescent="0.15">
      <c r="B76" s="155">
        <v>23</v>
      </c>
      <c r="C76" s="377"/>
      <c r="D76" s="372">
        <v>1.8</v>
      </c>
      <c r="E76" s="370"/>
      <c r="F76" s="363"/>
      <c r="G76" s="364" t="str">
        <f t="shared" si="1"/>
        <v/>
      </c>
      <c r="I76" s="535" t="str">
        <f>IF(E76="","",SUM(E76:E78))</f>
        <v/>
      </c>
      <c r="J76" s="536" t="str">
        <f>IF(E76="","",SUM(F76:F78))</f>
        <v/>
      </c>
      <c r="K76" s="537" t="str">
        <f>IF(E76="","",I76/(45+J76))</f>
        <v/>
      </c>
      <c r="L76" s="96"/>
      <c r="N76" s="21"/>
    </row>
    <row r="77" spans="2:14" ht="12" customHeight="1" x14ac:dyDescent="0.15">
      <c r="B77" s="155"/>
      <c r="C77" s="155"/>
      <c r="D77" s="373">
        <v>1.4</v>
      </c>
      <c r="E77" s="365"/>
      <c r="F77" s="366"/>
      <c r="G77" s="251" t="str">
        <f t="shared" si="1"/>
        <v/>
      </c>
      <c r="I77" s="527"/>
      <c r="J77" s="530"/>
      <c r="K77" s="533"/>
      <c r="L77" s="94"/>
      <c r="N77" s="21"/>
    </row>
    <row r="78" spans="2:14" ht="13" customHeight="1" thickBot="1" x14ac:dyDescent="0.2">
      <c r="B78" s="155"/>
      <c r="C78" s="283"/>
      <c r="D78" s="374">
        <v>1</v>
      </c>
      <c r="E78" s="367"/>
      <c r="F78" s="368"/>
      <c r="G78" s="369" t="str">
        <f t="shared" si="1"/>
        <v/>
      </c>
      <c r="I78" s="528"/>
      <c r="J78" s="531"/>
      <c r="K78" s="534"/>
      <c r="L78" s="94"/>
      <c r="N78" s="21"/>
    </row>
    <row r="79" spans="2:14" ht="12" customHeight="1" x14ac:dyDescent="0.15">
      <c r="B79" s="155">
        <v>24</v>
      </c>
      <c r="C79" s="377"/>
      <c r="D79" s="372">
        <v>1.8</v>
      </c>
      <c r="E79" s="370"/>
      <c r="F79" s="363"/>
      <c r="G79" s="364" t="str">
        <f t="shared" si="1"/>
        <v/>
      </c>
      <c r="I79" s="535" t="str">
        <f>IF(E79="","",SUM(E79:E81))</f>
        <v/>
      </c>
      <c r="J79" s="536" t="str">
        <f>IF(E79="","",SUM(F79:F81))</f>
        <v/>
      </c>
      <c r="K79" s="537" t="str">
        <f>IF(E79="","",I79/(45+J79))</f>
        <v/>
      </c>
      <c r="L79" s="96"/>
      <c r="N79" s="21"/>
    </row>
    <row r="80" spans="2:14" ht="12" customHeight="1" x14ac:dyDescent="0.15">
      <c r="B80" s="155"/>
      <c r="C80" s="155"/>
      <c r="D80" s="373">
        <v>1.4</v>
      </c>
      <c r="E80" s="365"/>
      <c r="F80" s="366"/>
      <c r="G80" s="251" t="str">
        <f t="shared" si="1"/>
        <v/>
      </c>
      <c r="I80" s="527"/>
      <c r="J80" s="530"/>
      <c r="K80" s="533"/>
      <c r="L80" s="94"/>
      <c r="N80" s="21"/>
    </row>
    <row r="81" spans="2:14" ht="13" customHeight="1" thickBot="1" x14ac:dyDescent="0.2">
      <c r="B81" s="155"/>
      <c r="C81" s="283"/>
      <c r="D81" s="374">
        <v>1</v>
      </c>
      <c r="E81" s="367"/>
      <c r="F81" s="368"/>
      <c r="G81" s="369" t="str">
        <f t="shared" si="1"/>
        <v/>
      </c>
      <c r="I81" s="528"/>
      <c r="J81" s="531"/>
      <c r="K81" s="534"/>
      <c r="L81" s="94"/>
      <c r="N81" s="21"/>
    </row>
    <row r="82" spans="2:14" ht="12" customHeight="1" x14ac:dyDescent="0.15">
      <c r="B82" s="155">
        <v>25</v>
      </c>
      <c r="C82" s="377"/>
      <c r="D82" s="372">
        <v>1.8</v>
      </c>
      <c r="E82" s="370"/>
      <c r="F82" s="363"/>
      <c r="G82" s="364" t="str">
        <f t="shared" si="1"/>
        <v/>
      </c>
      <c r="I82" s="535" t="str">
        <f>IF(E82="","",SUM(E82:E84))</f>
        <v/>
      </c>
      <c r="J82" s="536" t="str">
        <f>IF(E82="","",SUM(F82:F84))</f>
        <v/>
      </c>
      <c r="K82" s="537" t="str">
        <f>IF(E82="","",I82/(45+J82))</f>
        <v/>
      </c>
      <c r="L82" s="96"/>
      <c r="N82" s="21"/>
    </row>
    <row r="83" spans="2:14" ht="12" customHeight="1" x14ac:dyDescent="0.15">
      <c r="B83" s="155"/>
      <c r="C83" s="155"/>
      <c r="D83" s="373">
        <v>1.4</v>
      </c>
      <c r="E83" s="365"/>
      <c r="F83" s="366"/>
      <c r="G83" s="251" t="str">
        <f t="shared" si="1"/>
        <v/>
      </c>
      <c r="I83" s="527"/>
      <c r="J83" s="530"/>
      <c r="K83" s="533"/>
      <c r="L83" s="94"/>
      <c r="N83" s="21"/>
    </row>
    <row r="84" spans="2:14" ht="13" customHeight="1" thickBot="1" x14ac:dyDescent="0.2">
      <c r="B84" s="155"/>
      <c r="C84" s="283"/>
      <c r="D84" s="374">
        <v>1</v>
      </c>
      <c r="E84" s="367"/>
      <c r="F84" s="368"/>
      <c r="G84" s="369" t="str">
        <f t="shared" si="1"/>
        <v/>
      </c>
      <c r="I84" s="528"/>
      <c r="J84" s="531"/>
      <c r="K84" s="534"/>
      <c r="L84" s="94"/>
      <c r="N84" s="21"/>
    </row>
    <row r="85" spans="2:14" ht="12" customHeight="1" x14ac:dyDescent="0.15">
      <c r="B85" s="155">
        <v>26</v>
      </c>
      <c r="C85" s="377"/>
      <c r="D85" s="372">
        <v>1.8</v>
      </c>
      <c r="E85" s="370"/>
      <c r="F85" s="363"/>
      <c r="G85" s="364" t="str">
        <f t="shared" si="1"/>
        <v/>
      </c>
      <c r="I85" s="535" t="str">
        <f>IF(E85="","",SUM(E85:E87))</f>
        <v/>
      </c>
      <c r="J85" s="536" t="str">
        <f>IF(E85="","",SUM(F85:F87))</f>
        <v/>
      </c>
      <c r="K85" s="537" t="str">
        <f>IF(E85="","",I85/(45+J85))</f>
        <v/>
      </c>
      <c r="L85" s="96"/>
      <c r="N85" s="21"/>
    </row>
    <row r="86" spans="2:14" ht="12" customHeight="1" x14ac:dyDescent="0.15">
      <c r="B86" s="155"/>
      <c r="C86" s="155"/>
      <c r="D86" s="373">
        <v>1.4</v>
      </c>
      <c r="E86" s="365"/>
      <c r="F86" s="366"/>
      <c r="G86" s="251" t="str">
        <f t="shared" si="1"/>
        <v/>
      </c>
      <c r="I86" s="527"/>
      <c r="J86" s="530"/>
      <c r="K86" s="533"/>
      <c r="L86" s="94"/>
      <c r="N86" s="21"/>
    </row>
    <row r="87" spans="2:14" ht="13" customHeight="1" thickBot="1" x14ac:dyDescent="0.2">
      <c r="B87" s="155"/>
      <c r="C87" s="283"/>
      <c r="D87" s="374">
        <v>1</v>
      </c>
      <c r="E87" s="367"/>
      <c r="F87" s="368"/>
      <c r="G87" s="369" t="str">
        <f t="shared" si="1"/>
        <v/>
      </c>
      <c r="I87" s="528"/>
      <c r="J87" s="531"/>
      <c r="K87" s="534"/>
      <c r="L87" s="94"/>
      <c r="N87" s="21"/>
    </row>
    <row r="88" spans="2:14" ht="12" customHeight="1" x14ac:dyDescent="0.15">
      <c r="B88" s="155">
        <v>27</v>
      </c>
      <c r="C88" s="377"/>
      <c r="D88" s="372">
        <v>1.8</v>
      </c>
      <c r="E88" s="370"/>
      <c r="F88" s="363"/>
      <c r="G88" s="364" t="str">
        <f t="shared" si="1"/>
        <v/>
      </c>
      <c r="I88" s="535" t="str">
        <f>IF(E88="","",SUM(E88:E90))</f>
        <v/>
      </c>
      <c r="J88" s="536" t="str">
        <f>IF(E88="","",SUM(F88:F90))</f>
        <v/>
      </c>
      <c r="K88" s="537" t="str">
        <f>IF(E88="","",I88/(45+J88))</f>
        <v/>
      </c>
      <c r="L88" s="96"/>
      <c r="N88" s="21"/>
    </row>
    <row r="89" spans="2:14" ht="12" customHeight="1" x14ac:dyDescent="0.15">
      <c r="B89" s="155"/>
      <c r="C89" s="155"/>
      <c r="D89" s="373">
        <v>1.4</v>
      </c>
      <c r="E89" s="365"/>
      <c r="F89" s="366"/>
      <c r="G89" s="251" t="str">
        <f t="shared" si="1"/>
        <v/>
      </c>
      <c r="I89" s="527"/>
      <c r="J89" s="530"/>
      <c r="K89" s="533"/>
      <c r="L89" s="94"/>
      <c r="N89" s="21"/>
    </row>
    <row r="90" spans="2:14" ht="13" customHeight="1" thickBot="1" x14ac:dyDescent="0.2">
      <c r="B90" s="155"/>
      <c r="C90" s="283"/>
      <c r="D90" s="374">
        <v>1</v>
      </c>
      <c r="E90" s="367"/>
      <c r="F90" s="368"/>
      <c r="G90" s="369" t="str">
        <f t="shared" si="1"/>
        <v/>
      </c>
      <c r="I90" s="528"/>
      <c r="J90" s="531"/>
      <c r="K90" s="534"/>
      <c r="L90" s="94"/>
      <c r="N90" s="21"/>
    </row>
    <row r="91" spans="2:14" ht="12" customHeight="1" x14ac:dyDescent="0.15">
      <c r="B91" s="155">
        <v>28</v>
      </c>
      <c r="C91" s="377"/>
      <c r="D91" s="372">
        <v>1.8</v>
      </c>
      <c r="E91" s="370"/>
      <c r="F91" s="363"/>
      <c r="G91" s="364" t="str">
        <f t="shared" si="1"/>
        <v/>
      </c>
      <c r="I91" s="535" t="str">
        <f>IF(E91="","",SUM(E91:E93))</f>
        <v/>
      </c>
      <c r="J91" s="536" t="str">
        <f>IF(E91="","",SUM(F91:F93))</f>
        <v/>
      </c>
      <c r="K91" s="537" t="str">
        <f>IF(E91="","",I91/(45+J91))</f>
        <v/>
      </c>
      <c r="L91" s="96"/>
      <c r="N91" s="21"/>
    </row>
    <row r="92" spans="2:14" ht="12" customHeight="1" x14ac:dyDescent="0.15">
      <c r="B92" s="155"/>
      <c r="C92" s="155"/>
      <c r="D92" s="373">
        <v>1.4</v>
      </c>
      <c r="E92" s="365"/>
      <c r="F92" s="366"/>
      <c r="G92" s="251" t="str">
        <f t="shared" si="1"/>
        <v/>
      </c>
      <c r="I92" s="527"/>
      <c r="J92" s="530"/>
      <c r="K92" s="533"/>
      <c r="L92" s="94"/>
      <c r="N92" s="21"/>
    </row>
    <row r="93" spans="2:14" ht="13" customHeight="1" thickBot="1" x14ac:dyDescent="0.2">
      <c r="B93" s="155"/>
      <c r="C93" s="283"/>
      <c r="D93" s="374">
        <v>1</v>
      </c>
      <c r="E93" s="367"/>
      <c r="F93" s="368"/>
      <c r="G93" s="369" t="str">
        <f t="shared" si="1"/>
        <v/>
      </c>
      <c r="I93" s="528"/>
      <c r="J93" s="531"/>
      <c r="K93" s="534"/>
      <c r="L93" s="94"/>
      <c r="N93" s="21"/>
    </row>
    <row r="94" spans="2:14" ht="12" customHeight="1" x14ac:dyDescent="0.15">
      <c r="B94" s="155">
        <v>29</v>
      </c>
      <c r="C94" s="377"/>
      <c r="D94" s="372">
        <v>1.8</v>
      </c>
      <c r="E94" s="370"/>
      <c r="F94" s="363"/>
      <c r="G94" s="364" t="str">
        <f t="shared" si="1"/>
        <v/>
      </c>
      <c r="I94" s="535" t="str">
        <f>IF(E94="","",SUM(E94:E96))</f>
        <v/>
      </c>
      <c r="J94" s="536" t="str">
        <f>IF(E94="","",SUM(F94:F96))</f>
        <v/>
      </c>
      <c r="K94" s="537" t="str">
        <f>IF(E94="","",I94/(45+J94))</f>
        <v/>
      </c>
      <c r="L94" s="96"/>
      <c r="N94" s="21"/>
    </row>
    <row r="95" spans="2:14" ht="12" customHeight="1" x14ac:dyDescent="0.15">
      <c r="B95" s="155"/>
      <c r="C95" s="155"/>
      <c r="D95" s="373">
        <v>1.4</v>
      </c>
      <c r="E95" s="365"/>
      <c r="F95" s="366"/>
      <c r="G95" s="251" t="str">
        <f t="shared" si="1"/>
        <v/>
      </c>
      <c r="I95" s="527"/>
      <c r="J95" s="530"/>
      <c r="K95" s="533"/>
      <c r="L95" s="94"/>
      <c r="N95" s="21"/>
    </row>
    <row r="96" spans="2:14" ht="13" customHeight="1" thickBot="1" x14ac:dyDescent="0.2">
      <c r="B96" s="155"/>
      <c r="C96" s="283"/>
      <c r="D96" s="374">
        <v>1</v>
      </c>
      <c r="E96" s="367"/>
      <c r="F96" s="368"/>
      <c r="G96" s="369" t="str">
        <f t="shared" si="1"/>
        <v/>
      </c>
      <c r="I96" s="528"/>
      <c r="J96" s="531"/>
      <c r="K96" s="534"/>
      <c r="L96" s="94"/>
      <c r="N96" s="21"/>
    </row>
    <row r="97" spans="2:14" ht="12" customHeight="1" x14ac:dyDescent="0.15">
      <c r="B97" s="155">
        <v>30</v>
      </c>
      <c r="C97" s="377"/>
      <c r="D97" s="372">
        <v>1.8</v>
      </c>
      <c r="E97" s="370"/>
      <c r="F97" s="363"/>
      <c r="G97" s="364" t="str">
        <f t="shared" si="1"/>
        <v/>
      </c>
      <c r="I97" s="527" t="str">
        <f>IF(E97="","",SUM(E97:E99))</f>
        <v/>
      </c>
      <c r="J97" s="530" t="str">
        <f>IF(E97="","",SUM(F97:F99))</f>
        <v/>
      </c>
      <c r="K97" s="533" t="str">
        <f>IF(E97="","",I97/(45+J97))</f>
        <v/>
      </c>
      <c r="L97" s="96"/>
      <c r="N97" s="21"/>
    </row>
    <row r="98" spans="2:14" ht="12" customHeight="1" x14ac:dyDescent="0.15">
      <c r="B98" s="83"/>
      <c r="C98" s="95"/>
      <c r="D98" s="373">
        <v>1.4</v>
      </c>
      <c r="E98" s="365"/>
      <c r="F98" s="366"/>
      <c r="G98" s="251" t="str">
        <f t="shared" si="1"/>
        <v/>
      </c>
      <c r="I98" s="527"/>
      <c r="J98" s="530"/>
      <c r="K98" s="533"/>
      <c r="L98" s="194"/>
      <c r="N98" s="21"/>
    </row>
    <row r="99" spans="2:14" ht="13" customHeight="1" thickBot="1" x14ac:dyDescent="0.2">
      <c r="B99" s="83"/>
      <c r="C99" s="95"/>
      <c r="D99" s="371">
        <v>1</v>
      </c>
      <c r="E99" s="360"/>
      <c r="F99" s="361"/>
      <c r="G99" s="284" t="str">
        <f t="shared" si="1"/>
        <v/>
      </c>
      <c r="I99" s="527"/>
      <c r="J99" s="530"/>
      <c r="K99" s="533"/>
      <c r="L99" s="94"/>
      <c r="N99" s="21"/>
    </row>
  </sheetData>
  <mergeCells count="99">
    <mergeCell ref="I97:I99"/>
    <mergeCell ref="J97:J99"/>
    <mergeCell ref="K97:K99"/>
    <mergeCell ref="I91:I93"/>
    <mergeCell ref="J91:J93"/>
    <mergeCell ref="K91:K93"/>
    <mergeCell ref="I94:I96"/>
    <mergeCell ref="J94:J96"/>
    <mergeCell ref="K94:K96"/>
    <mergeCell ref="I85:I87"/>
    <mergeCell ref="J85:J87"/>
    <mergeCell ref="K85:K87"/>
    <mergeCell ref="I88:I90"/>
    <mergeCell ref="J88:J90"/>
    <mergeCell ref="K88:K90"/>
    <mergeCell ref="I79:I81"/>
    <mergeCell ref="J79:J81"/>
    <mergeCell ref="K79:K81"/>
    <mergeCell ref="I82:I84"/>
    <mergeCell ref="J82:J84"/>
    <mergeCell ref="K82:K84"/>
    <mergeCell ref="I73:I75"/>
    <mergeCell ref="J73:J75"/>
    <mergeCell ref="K73:K75"/>
    <mergeCell ref="I76:I78"/>
    <mergeCell ref="J76:J78"/>
    <mergeCell ref="K76:K78"/>
    <mergeCell ref="I67:I69"/>
    <mergeCell ref="J67:J69"/>
    <mergeCell ref="K67:K69"/>
    <mergeCell ref="I70:I72"/>
    <mergeCell ref="J70:J72"/>
    <mergeCell ref="K70:K72"/>
    <mergeCell ref="I64:I66"/>
    <mergeCell ref="J64:J66"/>
    <mergeCell ref="K64:K66"/>
    <mergeCell ref="I58:I60"/>
    <mergeCell ref="J58:J60"/>
    <mergeCell ref="K58:K60"/>
    <mergeCell ref="I61:I63"/>
    <mergeCell ref="J61:J63"/>
    <mergeCell ref="K61:K63"/>
    <mergeCell ref="I52:I54"/>
    <mergeCell ref="J52:J54"/>
    <mergeCell ref="K52:K54"/>
    <mergeCell ref="I55:I57"/>
    <mergeCell ref="J55:J57"/>
    <mergeCell ref="K55:K57"/>
    <mergeCell ref="I46:I48"/>
    <mergeCell ref="J46:J48"/>
    <mergeCell ref="K46:K48"/>
    <mergeCell ref="I49:I51"/>
    <mergeCell ref="J49:J51"/>
    <mergeCell ref="K49:K51"/>
    <mergeCell ref="I40:I42"/>
    <mergeCell ref="J40:J42"/>
    <mergeCell ref="K40:K42"/>
    <mergeCell ref="I43:I45"/>
    <mergeCell ref="J43:J45"/>
    <mergeCell ref="K43:K45"/>
    <mergeCell ref="I34:I36"/>
    <mergeCell ref="J34:J36"/>
    <mergeCell ref="K34:K36"/>
    <mergeCell ref="I37:I39"/>
    <mergeCell ref="J37:J39"/>
    <mergeCell ref="K37:K39"/>
    <mergeCell ref="I28:I30"/>
    <mergeCell ref="J28:J30"/>
    <mergeCell ref="K28:K30"/>
    <mergeCell ref="I31:I33"/>
    <mergeCell ref="J31:J33"/>
    <mergeCell ref="K31:K33"/>
    <mergeCell ref="I22:I24"/>
    <mergeCell ref="J22:J24"/>
    <mergeCell ref="K22:K24"/>
    <mergeCell ref="I25:I27"/>
    <mergeCell ref="J25:J27"/>
    <mergeCell ref="K25:K27"/>
    <mergeCell ref="J19:J21"/>
    <mergeCell ref="K19:K21"/>
    <mergeCell ref="I16:I18"/>
    <mergeCell ref="J16:J18"/>
    <mergeCell ref="K16:K18"/>
    <mergeCell ref="B3:K3"/>
    <mergeCell ref="M6:Q6"/>
    <mergeCell ref="B2:K2"/>
    <mergeCell ref="B4:K4"/>
    <mergeCell ref="M19:Q20"/>
    <mergeCell ref="G6:K6"/>
    <mergeCell ref="I8:K8"/>
    <mergeCell ref="O9:P9"/>
    <mergeCell ref="C6:E6"/>
    <mergeCell ref="I10:I12"/>
    <mergeCell ref="J10:J12"/>
    <mergeCell ref="K10:K12"/>
    <mergeCell ref="I13:I15"/>
    <mergeCell ref="J13:J15"/>
    <mergeCell ref="K13:K15"/>
    <mergeCell ref="I19:I21"/>
  </mergeCells>
  <phoneticPr fontId="1" type="noConversion"/>
  <pageMargins left="0.7" right="0.7" top="0.75" bottom="0.75" header="0.3" footer="0.3"/>
  <pageSetup orientation="portrait" r:id="rId1"/>
  <ignoredErrors>
    <ignoredError sqref="I13:J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FE605-991C-FA42-95E4-4DB692E250B2}">
  <sheetPr codeName="Sheet4">
    <tabColor theme="4" tint="0.59999389629810485"/>
  </sheetPr>
  <dimension ref="B2:H13"/>
  <sheetViews>
    <sheetView showGridLines="0" zoomScaleNormal="100" workbookViewId="0">
      <selection activeCell="B5" sqref="B5"/>
    </sheetView>
  </sheetViews>
  <sheetFormatPr baseColWidth="10" defaultColWidth="11" defaultRowHeight="12" x14ac:dyDescent="0.15"/>
  <cols>
    <col min="1" max="1" width="2.19921875" customWidth="1"/>
    <col min="2" max="2" width="15.3984375" style="17" customWidth="1"/>
    <col min="3" max="3" width="10" customWidth="1"/>
    <col min="4" max="4" width="8.796875" customWidth="1"/>
    <col min="5" max="6" width="12.3984375" customWidth="1"/>
  </cols>
  <sheetData>
    <row r="2" spans="2:8" ht="22" customHeight="1" x14ac:dyDescent="0.15">
      <c r="B2" s="448" t="s">
        <v>124</v>
      </c>
      <c r="C2" s="448"/>
      <c r="D2" s="448"/>
      <c r="E2" s="448"/>
      <c r="F2" s="448"/>
      <c r="G2" s="12"/>
    </row>
    <row r="3" spans="2:8" ht="9" customHeight="1" x14ac:dyDescent="0.15">
      <c r="B3" s="163"/>
      <c r="C3" s="163"/>
      <c r="D3" s="163"/>
      <c r="E3" s="163"/>
      <c r="F3" s="163"/>
      <c r="G3" s="12"/>
    </row>
    <row r="4" spans="2:8" ht="18" customHeight="1" x14ac:dyDescent="0.15">
      <c r="B4" s="15" t="s">
        <v>0</v>
      </c>
      <c r="C4" s="538" t="str">
        <f>Scoring!B4</f>
        <v>Sam Sample</v>
      </c>
      <c r="D4" s="539"/>
      <c r="E4" s="83" t="s">
        <v>1</v>
      </c>
      <c r="F4" s="416" t="str">
        <f>Scoring!E4</f>
        <v>7.1.26</v>
      </c>
    </row>
    <row r="5" spans="2:8" ht="12" customHeight="1" x14ac:dyDescent="0.15"/>
    <row r="6" spans="2:8" ht="18" customHeight="1" x14ac:dyDescent="0.15">
      <c r="C6" s="448" t="s">
        <v>40</v>
      </c>
      <c r="D6" s="448"/>
      <c r="E6" s="540" t="s">
        <v>121</v>
      </c>
      <c r="F6" s="542" t="s">
        <v>125</v>
      </c>
      <c r="G6" s="12"/>
    </row>
    <row r="7" spans="2:8" ht="18" customHeight="1" x14ac:dyDescent="0.15">
      <c r="C7" s="297" t="s">
        <v>37</v>
      </c>
      <c r="D7" s="297" t="s">
        <v>41</v>
      </c>
      <c r="E7" s="541"/>
      <c r="F7" s="542"/>
      <c r="G7" s="399" t="s">
        <v>101</v>
      </c>
    </row>
    <row r="8" spans="2:8" ht="18" customHeight="1" x14ac:dyDescent="0.15">
      <c r="B8" s="381" t="s">
        <v>3</v>
      </c>
      <c r="C8" s="382">
        <v>43.32</v>
      </c>
      <c r="D8" s="383">
        <v>2.19</v>
      </c>
      <c r="E8" s="384">
        <f>Scoring!F13</f>
        <v>38</v>
      </c>
      <c r="F8" s="385">
        <f>Scoring!F13-'Healthy Controls'!C8</f>
        <v>-5.32</v>
      </c>
      <c r="G8" s="386">
        <f>Scoring!D19</f>
        <v>-2.4292237442922375</v>
      </c>
      <c r="H8" s="298"/>
    </row>
    <row r="9" spans="2:8" ht="18" customHeight="1" x14ac:dyDescent="0.15">
      <c r="B9" s="381" t="s">
        <v>4</v>
      </c>
      <c r="C9" s="387">
        <v>0.45</v>
      </c>
      <c r="D9" s="388">
        <v>0.65</v>
      </c>
      <c r="E9" s="384">
        <f>Scoring!G13</f>
        <v>1</v>
      </c>
      <c r="F9" s="389">
        <f>Scoring!G13-'Healthy Controls'!C9</f>
        <v>0.55000000000000004</v>
      </c>
      <c r="G9" s="386">
        <f>Scoring!D20</f>
        <v>-2.2307692307692308</v>
      </c>
    </row>
    <row r="10" spans="2:8" ht="18" customHeight="1" x14ac:dyDescent="0.15">
      <c r="B10" s="381" t="s">
        <v>42</v>
      </c>
      <c r="C10" s="390">
        <v>0.96199999999999997</v>
      </c>
      <c r="D10" s="388"/>
      <c r="E10" s="391">
        <f>Scoring!F14</f>
        <v>0.84444444444444444</v>
      </c>
      <c r="F10" s="392">
        <f>Scoring!F14-'Healthy Controls'!C10</f>
        <v>-0.11755555555555552</v>
      </c>
      <c r="G10" s="393"/>
      <c r="H10" s="298"/>
    </row>
    <row r="11" spans="2:8" ht="18" customHeight="1" x14ac:dyDescent="0.15">
      <c r="B11" s="394" t="s">
        <v>5</v>
      </c>
      <c r="C11" s="395">
        <v>0.9516</v>
      </c>
      <c r="D11" s="396">
        <v>5.65</v>
      </c>
      <c r="E11" s="397">
        <f>Scoring!C22</f>
        <v>0.82608695652173914</v>
      </c>
      <c r="F11" s="398">
        <f>Scoring!C22-'Healthy Controls'!C11</f>
        <v>-0.12551304347826087</v>
      </c>
      <c r="G11" s="386">
        <f>Scoring!D22</f>
        <v>-2.2214697960754135</v>
      </c>
    </row>
    <row r="13" spans="2:8" x14ac:dyDescent="0.15">
      <c r="C13" s="311" t="s">
        <v>100</v>
      </c>
    </row>
  </sheetData>
  <mergeCells count="5">
    <mergeCell ref="C6:D6"/>
    <mergeCell ref="B2:F2"/>
    <mergeCell ref="C4:D4"/>
    <mergeCell ref="E6:E7"/>
    <mergeCell ref="F6:F7"/>
  </mergeCells>
  <conditionalFormatting sqref="F8">
    <cfRule type="expression" dxfId="4" priority="3">
      <formula>"if(k4&lt;43)"</formula>
    </cfRule>
  </conditionalFormatting>
  <conditionalFormatting sqref="F8:F11">
    <cfRule type="cellIs" dxfId="3" priority="1" operator="lessThan">
      <formula>0</formula>
    </cfRule>
  </conditionalFormatting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73072-1697-4474-B9C2-30A64DFFC764}">
  <sheetPr codeName="Sheet2">
    <tabColor theme="5" tint="0.79998168889431442"/>
  </sheetPr>
  <dimension ref="B1:AH94"/>
  <sheetViews>
    <sheetView showGridLines="0" zoomScaleNormal="100" zoomScalePageLayoutView="150" workbookViewId="0">
      <selection activeCell="M37" sqref="M37"/>
    </sheetView>
  </sheetViews>
  <sheetFormatPr baseColWidth="10" defaultColWidth="8.59765625" defaultRowHeight="12" x14ac:dyDescent="0.15"/>
  <cols>
    <col min="1" max="1" width="1.19921875" customWidth="1"/>
    <col min="2" max="2" width="19.796875" customWidth="1"/>
    <col min="3" max="3" width="9.59765625" customWidth="1"/>
    <col min="4" max="4" width="10.796875" customWidth="1"/>
    <col min="5" max="5" width="11.19921875" customWidth="1"/>
    <col min="6" max="6" width="9.796875" customWidth="1"/>
    <col min="7" max="7" width="4.796875" customWidth="1"/>
    <col min="8" max="8" width="8.3984375" customWidth="1"/>
    <col min="9" max="9" width="21.59765625" customWidth="1"/>
    <col min="10" max="10" width="18.796875" customWidth="1"/>
    <col min="11" max="11" width="3.3984375" customWidth="1"/>
    <col min="12" max="12" width="3.59765625" customWidth="1"/>
    <col min="13" max="13" width="19.3984375" customWidth="1"/>
    <col min="14" max="14" width="0.796875" customWidth="1"/>
    <col min="15" max="15" width="28.3984375" customWidth="1"/>
    <col min="16" max="16" width="1.3984375" customWidth="1"/>
    <col min="17" max="17" width="2.796875" customWidth="1"/>
    <col min="18" max="18" width="11.59765625" customWidth="1"/>
    <col min="19" max="19" width="6.19921875" customWidth="1"/>
    <col min="20" max="20" width="23.19921875" customWidth="1"/>
    <col min="21" max="21" width="19.59765625" customWidth="1"/>
    <col min="22" max="22" width="13.59765625" customWidth="1"/>
    <col min="23" max="23" width="7.59765625" customWidth="1"/>
    <col min="24" max="24" width="2.19921875" customWidth="1"/>
    <col min="25" max="25" width="6" customWidth="1"/>
    <col min="26" max="26" width="1.59765625" customWidth="1"/>
  </cols>
  <sheetData>
    <row r="1" spans="2:29" ht="8" customHeight="1" x14ac:dyDescent="0.15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2:29" ht="19" x14ac:dyDescent="0.15">
      <c r="B2" s="320" t="s">
        <v>107</v>
      </c>
      <c r="C2" s="543" t="str">
        <f xml:space="preserve"> " Results for " &amp; Scoring!B4</f>
        <v xml:space="preserve"> Results for Sam Sample</v>
      </c>
      <c r="D2" s="544"/>
      <c r="E2" s="544"/>
      <c r="F2" s="321" t="str">
        <f>Scoring!E4</f>
        <v>7.1.26</v>
      </c>
      <c r="G2" s="412"/>
      <c r="H2" s="321">
        <f>Scoring!F4</f>
        <v>56</v>
      </c>
      <c r="I2" s="322" t="str">
        <f>Scoring!I4</f>
        <v>Memory concerns</v>
      </c>
      <c r="J2" s="323">
        <f>Scoring!Q4</f>
        <v>4</v>
      </c>
      <c r="K2" s="166"/>
      <c r="N2" s="163"/>
      <c r="O2" s="163"/>
      <c r="P2" s="54"/>
      <c r="Q2" s="111"/>
      <c r="R2" s="111"/>
      <c r="S2" s="104"/>
      <c r="T2" s="110"/>
      <c r="U2" s="6"/>
      <c r="V2" s="6"/>
      <c r="W2" s="6"/>
    </row>
    <row r="3" spans="2:29" ht="14" customHeight="1" x14ac:dyDescent="0.15">
      <c r="B3" s="324" t="s">
        <v>104</v>
      </c>
      <c r="C3" s="379"/>
      <c r="D3" s="380"/>
      <c r="E3" s="380"/>
      <c r="F3" s="160" t="s">
        <v>131</v>
      </c>
      <c r="G3" s="16"/>
      <c r="H3" s="160" t="s">
        <v>62</v>
      </c>
      <c r="I3" s="160" t="s">
        <v>2</v>
      </c>
      <c r="J3" s="160" t="s">
        <v>103</v>
      </c>
      <c r="M3" s="9"/>
      <c r="N3" s="9"/>
      <c r="O3" s="9"/>
      <c r="R3" s="12"/>
      <c r="S3" s="12"/>
      <c r="T3" s="6"/>
      <c r="U3" s="6"/>
      <c r="V3" s="6"/>
      <c r="W3" s="6"/>
    </row>
    <row r="4" spans="2:29" ht="12" customHeight="1" x14ac:dyDescent="0.15">
      <c r="B4" s="324" t="s">
        <v>105</v>
      </c>
      <c r="C4" s="350"/>
      <c r="D4" s="317"/>
      <c r="E4" s="85"/>
      <c r="F4" s="317"/>
      <c r="G4" s="557"/>
      <c r="H4" s="557"/>
      <c r="I4" s="249"/>
      <c r="J4" s="318"/>
      <c r="M4" s="64"/>
      <c r="N4" s="165"/>
      <c r="O4" s="165"/>
      <c r="P4" s="51"/>
      <c r="Q4" s="69"/>
      <c r="U4" s="6"/>
      <c r="V4" s="6"/>
      <c r="W4" s="6"/>
      <c r="X4" s="12"/>
      <c r="Y4" s="12"/>
      <c r="Z4" s="12"/>
      <c r="AA4" s="12"/>
      <c r="AB4" s="12"/>
      <c r="AC4" s="12"/>
    </row>
    <row r="5" spans="2:29" ht="6" customHeight="1" x14ac:dyDescent="0.15">
      <c r="B5" s="555"/>
      <c r="C5" s="555"/>
      <c r="F5" s="82"/>
      <c r="G5" s="551"/>
      <c r="H5" s="551"/>
      <c r="M5" s="165"/>
      <c r="N5" s="165"/>
      <c r="O5" s="165"/>
      <c r="P5" s="51"/>
      <c r="U5" s="6"/>
      <c r="V5" s="6"/>
      <c r="W5" s="6"/>
      <c r="X5" s="12"/>
      <c r="Y5" s="12"/>
      <c r="Z5" s="12"/>
      <c r="AA5" s="12"/>
      <c r="AB5" s="12"/>
      <c r="AC5" s="12"/>
    </row>
    <row r="6" spans="2:29" ht="19" customHeight="1" x14ac:dyDescent="0.15">
      <c r="C6" s="358" t="s">
        <v>34</v>
      </c>
      <c r="D6" s="545" t="str">
        <f>Scoring!O4</f>
        <v>Sample data</v>
      </c>
      <c r="E6" s="546"/>
      <c r="F6" s="546"/>
      <c r="G6" s="546"/>
      <c r="H6" s="546"/>
      <c r="I6" s="546"/>
      <c r="J6" s="547"/>
      <c r="K6" s="167"/>
      <c r="M6" s="165"/>
      <c r="N6" s="165"/>
      <c r="O6" s="165"/>
      <c r="P6" s="51"/>
      <c r="Q6" s="107"/>
      <c r="R6" s="108"/>
      <c r="S6" s="108"/>
      <c r="T6" s="108"/>
      <c r="U6" s="6"/>
      <c r="V6" s="6"/>
      <c r="W6" s="6"/>
      <c r="X6" s="12"/>
      <c r="Y6" s="12"/>
      <c r="Z6" s="12"/>
      <c r="AA6" s="12"/>
      <c r="AB6" s="12"/>
      <c r="AC6" s="12"/>
    </row>
    <row r="7" spans="2:29" ht="28.75" customHeight="1" x14ac:dyDescent="0.15">
      <c r="C7" s="342" t="s">
        <v>106</v>
      </c>
      <c r="D7" s="552" t="str">
        <f>Scoring!Q10</f>
        <v>An Accuracy Index of 83%  was obtained with 38 Correct identifications out of 45 targets, with 1 Commission errors. This performance is classified as Moderate Difficulty.</v>
      </c>
      <c r="E7" s="553"/>
      <c r="F7" s="553"/>
      <c r="G7" s="553"/>
      <c r="H7" s="553"/>
      <c r="I7" s="553"/>
      <c r="J7" s="554"/>
      <c r="K7" s="167"/>
      <c r="U7" s="6"/>
      <c r="V7" s="6"/>
      <c r="W7" s="6"/>
      <c r="X7" s="12"/>
      <c r="Y7" s="12"/>
      <c r="Z7" s="12"/>
      <c r="AA7" s="12"/>
      <c r="AB7" s="12"/>
      <c r="AC7" s="12"/>
    </row>
    <row r="8" spans="2:29" x14ac:dyDescent="0.15">
      <c r="B8" s="109"/>
      <c r="C8" s="103"/>
      <c r="D8" s="80"/>
      <c r="E8" s="80"/>
      <c r="F8" s="82"/>
      <c r="G8" s="81"/>
      <c r="H8" s="82"/>
      <c r="I8" s="82"/>
      <c r="J8" s="82"/>
      <c r="N8" s="24"/>
      <c r="P8" s="51"/>
      <c r="Q8" s="107"/>
      <c r="R8" s="108"/>
      <c r="S8" s="108"/>
      <c r="T8" s="108"/>
      <c r="U8" s="6"/>
      <c r="V8" s="6"/>
      <c r="W8" s="6"/>
      <c r="X8" s="12"/>
      <c r="Y8" s="12"/>
      <c r="Z8" s="12"/>
      <c r="AA8" s="12"/>
      <c r="AB8" s="12"/>
      <c r="AC8" s="12"/>
    </row>
    <row r="9" spans="2:29" ht="18" customHeight="1" x14ac:dyDescent="0.15">
      <c r="B9" s="346" t="s">
        <v>68</v>
      </c>
      <c r="C9" s="346" t="s">
        <v>3</v>
      </c>
      <c r="D9" s="346" t="s">
        <v>4</v>
      </c>
      <c r="E9" s="550" t="s">
        <v>73</v>
      </c>
      <c r="F9" s="550"/>
      <c r="M9" s="9"/>
      <c r="N9" s="9"/>
      <c r="O9" s="168"/>
      <c r="Q9" s="107"/>
      <c r="R9" s="108"/>
      <c r="S9" s="108"/>
      <c r="T9" s="9"/>
      <c r="U9" s="6"/>
      <c r="V9" s="6"/>
      <c r="W9" s="6"/>
      <c r="X9" s="12"/>
      <c r="Y9" s="12"/>
      <c r="Z9" s="12"/>
      <c r="AA9" s="12"/>
      <c r="AB9" s="12"/>
      <c r="AC9" s="12"/>
    </row>
    <row r="10" spans="2:29" ht="18" customHeight="1" x14ac:dyDescent="0.15">
      <c r="B10" s="345" t="s">
        <v>6</v>
      </c>
      <c r="C10" s="198">
        <f>Scoring!F10</f>
        <v>15</v>
      </c>
      <c r="D10" s="198">
        <f>Scoring!G10</f>
        <v>0</v>
      </c>
      <c r="E10" s="556">
        <f>Scoring!H10</f>
        <v>1</v>
      </c>
      <c r="F10" s="556"/>
      <c r="L10" s="156"/>
      <c r="M10" s="9"/>
      <c r="N10" s="9"/>
      <c r="O10" s="9"/>
      <c r="Q10" s="107"/>
      <c r="R10" s="108"/>
      <c r="S10" s="108"/>
      <c r="T10" s="108"/>
      <c r="U10" s="6"/>
      <c r="V10" s="6"/>
      <c r="W10" s="6"/>
      <c r="X10" s="12"/>
      <c r="Y10" s="12"/>
      <c r="Z10" s="12"/>
      <c r="AA10" s="12"/>
      <c r="AB10" s="12"/>
      <c r="AC10" s="12"/>
    </row>
    <row r="11" spans="2:29" ht="18" customHeight="1" x14ac:dyDescent="0.15">
      <c r="B11" s="235" t="s">
        <v>11</v>
      </c>
      <c r="C11" s="199">
        <f>Scoring!F11</f>
        <v>14</v>
      </c>
      <c r="D11" s="199">
        <f>Scoring!G11</f>
        <v>0</v>
      </c>
      <c r="E11" s="556">
        <f>Scoring!H11</f>
        <v>0.93333333333333335</v>
      </c>
      <c r="F11" s="556"/>
      <c r="M11" s="9"/>
      <c r="N11" s="9"/>
      <c r="O11" s="9"/>
      <c r="Q11" s="107"/>
      <c r="R11" s="108"/>
      <c r="S11" s="108"/>
      <c r="T11" s="108"/>
      <c r="U11" s="6"/>
      <c r="V11" s="6"/>
      <c r="W11" s="6"/>
      <c r="X11" s="12"/>
      <c r="Y11" s="12"/>
      <c r="Z11" s="12"/>
      <c r="AA11" s="12"/>
      <c r="AB11" s="12"/>
      <c r="AC11" s="12"/>
    </row>
    <row r="12" spans="2:29" ht="18" customHeight="1" x14ac:dyDescent="0.15">
      <c r="B12" s="235" t="s">
        <v>12</v>
      </c>
      <c r="C12" s="157">
        <f>Scoring!F12</f>
        <v>9</v>
      </c>
      <c r="D12" s="157">
        <f>Scoring!G12</f>
        <v>1</v>
      </c>
      <c r="E12" s="556">
        <f>Scoring!H12</f>
        <v>0.5625</v>
      </c>
      <c r="F12" s="556"/>
      <c r="H12" s="548" t="s">
        <v>5</v>
      </c>
      <c r="I12" s="548"/>
      <c r="J12" s="548"/>
      <c r="L12" s="137"/>
      <c r="M12" s="9"/>
      <c r="N12" s="9"/>
      <c r="O12" s="9"/>
      <c r="Q12" s="107"/>
      <c r="R12" s="108"/>
      <c r="S12" s="108"/>
      <c r="T12" s="108"/>
      <c r="U12" s="6"/>
      <c r="V12" s="6"/>
      <c r="W12" s="6"/>
      <c r="X12" s="12"/>
      <c r="Y12" s="12"/>
      <c r="Z12" s="12"/>
      <c r="AA12" s="12"/>
      <c r="AB12" s="12"/>
      <c r="AC12" s="12"/>
    </row>
    <row r="13" spans="2:29" ht="18" customHeight="1" x14ac:dyDescent="0.15">
      <c r="B13" s="164" t="s">
        <v>50</v>
      </c>
      <c r="C13" s="319">
        <f>Scoring!F13</f>
        <v>38</v>
      </c>
      <c r="D13" s="319">
        <f>Scoring!G13</f>
        <v>1</v>
      </c>
      <c r="E13" s="451">
        <f>Scoring!H13</f>
        <v>0.82608695652173914</v>
      </c>
      <c r="F13" s="451"/>
      <c r="H13" s="549" t="str">
        <f>Scoring!O13</f>
        <v>Moderate Difficulty</v>
      </c>
      <c r="I13" s="549"/>
      <c r="J13" s="549"/>
      <c r="L13" s="118"/>
      <c r="M13" s="9"/>
      <c r="N13" s="9"/>
      <c r="O13" s="9"/>
      <c r="Q13" s="107"/>
      <c r="R13" s="108"/>
      <c r="S13" s="108"/>
      <c r="T13" s="108"/>
      <c r="U13" s="6"/>
      <c r="V13" s="6"/>
      <c r="W13" s="6"/>
      <c r="X13" s="12"/>
      <c r="Y13" s="12"/>
      <c r="Z13" s="12"/>
      <c r="AA13" s="12"/>
      <c r="AB13" s="12"/>
      <c r="AC13" s="12"/>
    </row>
    <row r="14" spans="2:29" ht="18" customHeight="1" x14ac:dyDescent="0.15">
      <c r="B14" s="164" t="s">
        <v>13</v>
      </c>
      <c r="C14" s="343">
        <f>C13/45</f>
        <v>0.84444444444444444</v>
      </c>
      <c r="D14" s="173"/>
      <c r="E14" s="170">
        <f>C13/(45+D13)</f>
        <v>0.82608695652173914</v>
      </c>
      <c r="M14" s="9"/>
      <c r="N14" s="9"/>
      <c r="O14" s="9"/>
      <c r="U14" s="6"/>
      <c r="V14" s="6"/>
      <c r="W14" s="6"/>
      <c r="X14" s="12"/>
      <c r="Y14" s="12"/>
      <c r="Z14" s="12"/>
      <c r="AA14" s="12"/>
      <c r="AB14" s="12"/>
      <c r="AC14" s="12"/>
    </row>
    <row r="15" spans="2:29" ht="10" customHeight="1" x14ac:dyDescent="0.15">
      <c r="B15" s="88"/>
      <c r="C15" s="102"/>
      <c r="D15" s="10"/>
      <c r="E15" s="116"/>
      <c r="I15" s="115"/>
      <c r="J15" s="115"/>
      <c r="K15" s="115"/>
      <c r="M15" s="9"/>
      <c r="N15" s="9"/>
      <c r="O15" s="9"/>
      <c r="Q15" s="107"/>
      <c r="R15" s="108"/>
      <c r="S15" s="108"/>
      <c r="T15" s="108"/>
      <c r="U15" s="127"/>
      <c r="V15" s="6"/>
      <c r="W15" s="6"/>
      <c r="X15" s="12"/>
      <c r="Y15" s="12"/>
      <c r="Z15" s="12"/>
      <c r="AA15" s="12"/>
      <c r="AB15" s="12"/>
      <c r="AC15" s="12"/>
    </row>
    <row r="16" spans="2:29" ht="18" customHeight="1" x14ac:dyDescent="0.15">
      <c r="B16" s="558" t="s">
        <v>45</v>
      </c>
      <c r="C16" s="558"/>
      <c r="D16" s="558"/>
      <c r="E16" s="558"/>
      <c r="F16" s="558"/>
      <c r="G16" s="178"/>
      <c r="H16" s="558" t="s">
        <v>126</v>
      </c>
      <c r="I16" s="558"/>
      <c r="J16" s="558"/>
      <c r="K16" s="115"/>
      <c r="M16" s="9"/>
      <c r="N16" s="9"/>
      <c r="O16" s="9"/>
      <c r="Q16" s="107"/>
      <c r="R16" s="108"/>
      <c r="S16" s="108"/>
      <c r="T16" s="108"/>
      <c r="U16" s="127"/>
      <c r="V16" s="6"/>
      <c r="W16" s="6"/>
      <c r="X16" s="12"/>
      <c r="Y16" s="12"/>
      <c r="Z16" s="12"/>
      <c r="AA16" s="12"/>
      <c r="AB16" s="12"/>
      <c r="AC16" s="12"/>
    </row>
    <row r="17" spans="2:29" ht="3" customHeight="1" x14ac:dyDescent="0.15">
      <c r="B17" s="81"/>
      <c r="C17" s="82"/>
      <c r="D17" s="82"/>
      <c r="E17" s="82"/>
      <c r="I17" s="115"/>
      <c r="J17" s="115"/>
      <c r="K17" s="115"/>
      <c r="M17" s="9"/>
      <c r="N17" s="9"/>
      <c r="O17" s="9"/>
      <c r="Q17" s="107"/>
      <c r="R17" s="108"/>
      <c r="S17" s="108"/>
      <c r="T17" s="108"/>
      <c r="U17" s="127"/>
      <c r="V17" s="6"/>
      <c r="W17" s="6"/>
      <c r="X17" s="12"/>
      <c r="Y17" s="12"/>
      <c r="Z17" s="12"/>
      <c r="AA17" s="12"/>
      <c r="AB17" s="12"/>
      <c r="AC17" s="12"/>
    </row>
    <row r="18" spans="2:29" ht="16" customHeight="1" x14ac:dyDescent="0.15">
      <c r="C18" s="156" t="s">
        <v>7</v>
      </c>
      <c r="D18" s="156" t="s">
        <v>8</v>
      </c>
      <c r="E18" s="156" t="s">
        <v>9</v>
      </c>
      <c r="F18" s="156" t="s">
        <v>10</v>
      </c>
      <c r="H18" s="563" t="s">
        <v>15</v>
      </c>
      <c r="I18" s="563"/>
      <c r="J18" s="171" t="str">
        <f>Scoring!C32</f>
        <v>Little difficult</v>
      </c>
      <c r="K18" s="115"/>
      <c r="M18" s="9"/>
      <c r="N18" s="9"/>
      <c r="O18" s="9"/>
      <c r="Q18" s="107"/>
      <c r="R18" s="108"/>
      <c r="S18" s="108"/>
      <c r="T18" s="108"/>
      <c r="U18" s="127"/>
      <c r="V18" s="6"/>
      <c r="W18" s="6"/>
      <c r="X18" s="12"/>
      <c r="Y18" s="12"/>
      <c r="Z18" s="12"/>
      <c r="AA18" s="12"/>
      <c r="AB18" s="12"/>
      <c r="AC18" s="12"/>
    </row>
    <row r="19" spans="2:29" ht="16" customHeight="1" x14ac:dyDescent="0.15">
      <c r="B19" s="197" t="s">
        <v>3</v>
      </c>
      <c r="C19" s="155">
        <f>Scoring!C19</f>
        <v>38</v>
      </c>
      <c r="D19" s="289">
        <f>Scoring!D19</f>
        <v>-2.4292237442922375</v>
      </c>
      <c r="E19" s="114">
        <f>Scoring!E19</f>
        <v>25.799086757990878</v>
      </c>
      <c r="F19" s="114">
        <f>Scoring!F19</f>
        <v>63.698630136986317</v>
      </c>
      <c r="H19" s="563" t="s">
        <v>17</v>
      </c>
      <c r="I19" s="563"/>
      <c r="J19" s="172">
        <f>Scoring!C33</f>
        <v>0.5</v>
      </c>
      <c r="K19" s="115"/>
      <c r="M19" s="9"/>
      <c r="N19" s="9"/>
      <c r="O19" s="9"/>
      <c r="Q19" s="107"/>
      <c r="R19" s="108"/>
      <c r="S19" s="108"/>
      <c r="T19" s="108"/>
      <c r="U19" s="127"/>
      <c r="V19" s="6"/>
      <c r="W19" s="6"/>
      <c r="X19" s="12"/>
      <c r="Y19" s="12"/>
      <c r="Z19" s="12"/>
      <c r="AA19" s="12"/>
      <c r="AB19" s="12"/>
      <c r="AC19" s="12"/>
    </row>
    <row r="20" spans="2:29" ht="16" customHeight="1" x14ac:dyDescent="0.15">
      <c r="B20" s="69" t="s">
        <v>4</v>
      </c>
      <c r="C20" s="155">
        <f>Scoring!C20</f>
        <v>1</v>
      </c>
      <c r="D20" s="50">
        <f>Scoring!D20</f>
        <v>-2.2307692307692308</v>
      </c>
      <c r="E20" s="114">
        <f>Scoring!E20</f>
        <v>27.692307692307693</v>
      </c>
      <c r="F20" s="114">
        <f>Scoring!F20</f>
        <v>66.538461538461547</v>
      </c>
      <c r="H20" s="563" t="s">
        <v>18</v>
      </c>
      <c r="I20" s="563"/>
      <c r="J20" s="169">
        <f>Scoring!C34</f>
        <v>0.84444444444444444</v>
      </c>
      <c r="K20" s="115"/>
      <c r="M20" s="9"/>
      <c r="N20" s="9"/>
      <c r="O20" s="9"/>
      <c r="Q20" s="107"/>
      <c r="R20" s="108"/>
      <c r="S20" s="108"/>
      <c r="T20" s="108"/>
      <c r="U20" s="127"/>
      <c r="V20" s="6"/>
      <c r="W20" s="6"/>
      <c r="X20" s="12"/>
      <c r="Y20" s="12"/>
      <c r="Z20" s="12"/>
      <c r="AA20" s="12"/>
      <c r="AB20" s="12"/>
      <c r="AC20" s="12"/>
    </row>
    <row r="21" spans="2:29" ht="16" customHeight="1" x14ac:dyDescent="0.15">
      <c r="B21" s="332" t="s">
        <v>5</v>
      </c>
      <c r="C21" s="333">
        <f>Scoring!C22</f>
        <v>0.82608695652173914</v>
      </c>
      <c r="D21" s="334">
        <f>Scoring!D22</f>
        <v>-2.2214697960754135</v>
      </c>
      <c r="E21" s="335">
        <f>Scoring!E22</f>
        <v>27.785302039245863</v>
      </c>
      <c r="F21" s="336">
        <f>Scoring!F22</f>
        <v>66.677953058868795</v>
      </c>
      <c r="H21" s="563" t="s">
        <v>19</v>
      </c>
      <c r="I21" s="563"/>
      <c r="J21" s="174">
        <f>Scoring!C35</f>
        <v>-0.34444444444444444</v>
      </c>
      <c r="K21" s="115"/>
      <c r="M21" s="9"/>
      <c r="N21" s="9"/>
      <c r="O21" s="9"/>
      <c r="Q21" s="107"/>
      <c r="R21" s="108"/>
      <c r="S21" s="108"/>
      <c r="T21" s="108"/>
      <c r="U21" s="127"/>
      <c r="V21" s="6"/>
      <c r="W21" s="6"/>
      <c r="X21" s="12"/>
      <c r="Y21" s="12"/>
      <c r="Z21" s="12"/>
      <c r="AA21" s="12"/>
      <c r="AB21" s="12"/>
      <c r="AC21" s="12"/>
    </row>
    <row r="22" spans="2:29" ht="16" customHeight="1" x14ac:dyDescent="0.15">
      <c r="C22" s="567"/>
      <c r="D22" s="567"/>
      <c r="E22" s="567"/>
      <c r="F22" s="567"/>
      <c r="H22" s="559" t="str">
        <f>Scoring!E32</f>
        <v>Under-estimates ability</v>
      </c>
      <c r="I22" s="560"/>
      <c r="J22" s="561"/>
      <c r="K22" s="115"/>
      <c r="M22" s="9"/>
      <c r="N22" s="9"/>
      <c r="O22" s="9"/>
      <c r="Q22" s="107"/>
      <c r="R22" s="108"/>
      <c r="S22" s="108"/>
      <c r="T22" s="108"/>
      <c r="U22" s="127"/>
      <c r="V22" s="6"/>
      <c r="W22" s="6"/>
      <c r="X22" s="12"/>
      <c r="Y22" s="12"/>
      <c r="Z22" s="12"/>
      <c r="AA22" s="12"/>
      <c r="AB22" s="12"/>
      <c r="AC22" s="12"/>
    </row>
    <row r="23" spans="2:29" ht="24" customHeight="1" x14ac:dyDescent="0.15">
      <c r="B23" s="88"/>
      <c r="C23" s="102"/>
      <c r="D23" s="10"/>
      <c r="E23" s="116"/>
      <c r="H23" s="564" t="str">
        <f>Scoring!E33</f>
        <v>Under-estimated performance may indicate poor awareness of ability or low mood.</v>
      </c>
      <c r="I23" s="565"/>
      <c r="J23" s="566"/>
      <c r="K23" s="115"/>
      <c r="M23" s="9"/>
      <c r="N23" s="9"/>
      <c r="O23" s="9"/>
      <c r="Q23" s="107"/>
      <c r="R23" s="108"/>
      <c r="S23" s="108"/>
      <c r="T23" s="108"/>
      <c r="U23" s="127"/>
      <c r="V23" s="6"/>
      <c r="W23" s="6"/>
      <c r="X23" s="12"/>
      <c r="Y23" s="12"/>
      <c r="Z23" s="12"/>
      <c r="AA23" s="12"/>
      <c r="AB23" s="12"/>
      <c r="AC23" s="12"/>
    </row>
    <row r="24" spans="2:29" ht="12" customHeight="1" x14ac:dyDescent="0.15">
      <c r="B24" s="9"/>
      <c r="C24" s="9"/>
      <c r="D24" s="9"/>
      <c r="E24" s="9"/>
      <c r="F24" s="9"/>
      <c r="G24" s="9"/>
      <c r="H24" s="9"/>
      <c r="I24" s="30"/>
      <c r="J24" s="121"/>
      <c r="K24" s="30"/>
      <c r="N24" s="24"/>
      <c r="P24" s="51"/>
      <c r="Q24" s="105"/>
      <c r="R24" s="106"/>
      <c r="S24" s="106"/>
      <c r="T24" s="106"/>
      <c r="U24" s="6"/>
      <c r="V24" s="6"/>
      <c r="W24" s="6"/>
      <c r="X24" s="12"/>
      <c r="Y24" s="12"/>
      <c r="Z24" s="12"/>
      <c r="AA24" s="12"/>
      <c r="AB24" s="12"/>
      <c r="AC24" s="12"/>
    </row>
    <row r="25" spans="2:29" ht="18" customHeight="1" x14ac:dyDescent="0.15">
      <c r="B25" s="558" t="s">
        <v>51</v>
      </c>
      <c r="C25" s="558"/>
      <c r="D25" s="558"/>
      <c r="E25" s="558"/>
      <c r="F25" s="558"/>
      <c r="G25" s="178"/>
      <c r="H25" s="558" t="s">
        <v>14</v>
      </c>
      <c r="I25" s="558"/>
      <c r="J25" s="558"/>
      <c r="K25" s="163"/>
      <c r="P25" s="51"/>
      <c r="Q25" s="69"/>
      <c r="R25" s="105"/>
      <c r="S25" s="106"/>
      <c r="T25" s="106"/>
      <c r="U25" s="6"/>
      <c r="V25" s="6"/>
      <c r="W25" s="6"/>
      <c r="X25" s="12"/>
      <c r="Y25" s="12"/>
      <c r="Z25" s="12"/>
      <c r="AA25" s="12"/>
      <c r="AB25" s="12"/>
      <c r="AC25" s="12"/>
    </row>
    <row r="26" spans="2:29" ht="14" customHeight="1" x14ac:dyDescent="0.15">
      <c r="B26" s="57"/>
      <c r="C26" s="123"/>
      <c r="D26" s="9"/>
      <c r="E26" s="114"/>
      <c r="F26" s="9"/>
      <c r="G26" s="9"/>
      <c r="H26" s="9"/>
      <c r="I26" s="9"/>
      <c r="J26" s="9"/>
      <c r="K26" s="9"/>
      <c r="P26" s="31"/>
      <c r="U26" s="6"/>
      <c r="V26" s="6"/>
      <c r="W26" s="6"/>
      <c r="X26" s="12"/>
      <c r="Y26" s="12"/>
      <c r="Z26" s="12"/>
      <c r="AA26" s="12"/>
      <c r="AB26" s="12"/>
      <c r="AC26" s="12"/>
    </row>
    <row r="27" spans="2:29" ht="14" customHeight="1" x14ac:dyDescent="0.15">
      <c r="B27" s="113"/>
      <c r="C27" s="123"/>
      <c r="D27" s="9"/>
      <c r="E27" s="114"/>
      <c r="F27" s="114"/>
      <c r="G27" s="9"/>
      <c r="H27" s="9"/>
      <c r="I27" s="9"/>
      <c r="J27" s="9"/>
      <c r="K27" s="9"/>
      <c r="P27" s="128"/>
      <c r="U27" s="6"/>
      <c r="V27" s="6"/>
      <c r="W27" s="6"/>
      <c r="X27" s="12"/>
      <c r="Y27" s="12"/>
      <c r="Z27" s="12"/>
      <c r="AA27" s="12"/>
      <c r="AB27" s="12"/>
      <c r="AC27" s="12"/>
    </row>
    <row r="28" spans="2:29" ht="14" customHeight="1" x14ac:dyDescent="0.15">
      <c r="B28" s="57"/>
      <c r="C28" s="9"/>
      <c r="D28" s="124"/>
      <c r="E28" s="53"/>
      <c r="F28" s="9"/>
      <c r="G28" s="122"/>
      <c r="H28" s="9"/>
      <c r="I28" s="9"/>
      <c r="J28" s="9"/>
      <c r="K28" s="9"/>
      <c r="P28" s="129"/>
      <c r="U28" s="6"/>
      <c r="V28" s="6"/>
      <c r="W28" s="6"/>
      <c r="X28" s="12"/>
      <c r="Y28" s="12"/>
      <c r="Z28" s="12"/>
      <c r="AA28" s="12"/>
      <c r="AB28" s="12"/>
      <c r="AC28" s="12"/>
    </row>
    <row r="29" spans="2:29" ht="14" customHeight="1" x14ac:dyDescent="0.15">
      <c r="B29" s="87"/>
      <c r="C29" s="102"/>
      <c r="D29" s="117"/>
      <c r="E29" s="125"/>
      <c r="F29" s="125"/>
      <c r="G29" s="118"/>
      <c r="H29" s="9"/>
      <c r="I29" s="9"/>
      <c r="J29" s="9"/>
      <c r="K29" s="9"/>
      <c r="P29" s="131"/>
      <c r="U29" s="6"/>
      <c r="V29" s="6"/>
      <c r="W29" s="6"/>
      <c r="X29" s="12"/>
      <c r="Y29" s="12"/>
      <c r="Z29" s="12"/>
      <c r="AA29" s="12"/>
      <c r="AB29" s="12"/>
      <c r="AC29" s="12"/>
    </row>
    <row r="30" spans="2:29" ht="14" customHeight="1" x14ac:dyDescent="0.15">
      <c r="B30" s="467"/>
      <c r="C30" s="467"/>
      <c r="D30" s="467"/>
      <c r="E30" s="467"/>
      <c r="F30" s="467"/>
      <c r="G30" s="467"/>
      <c r="H30" s="157"/>
      <c r="I30" s="157"/>
      <c r="J30" s="157"/>
      <c r="K30" s="9"/>
      <c r="P30" s="131"/>
      <c r="U30" s="6"/>
      <c r="V30" s="6"/>
      <c r="W30" s="6"/>
      <c r="X30" s="12"/>
      <c r="Y30" s="12"/>
      <c r="Z30" s="12"/>
      <c r="AA30" s="12"/>
      <c r="AB30" s="12"/>
      <c r="AC30" s="12"/>
    </row>
    <row r="31" spans="2:29" ht="14" customHeight="1" x14ac:dyDescent="0.15">
      <c r="B31" s="9"/>
      <c r="C31" s="62"/>
      <c r="D31" s="9"/>
      <c r="E31" s="9"/>
      <c r="F31" s="64"/>
      <c r="G31" s="64"/>
      <c r="H31" s="62"/>
      <c r="I31" s="64"/>
      <c r="J31" s="126"/>
      <c r="K31" s="9"/>
      <c r="P31" s="130"/>
      <c r="U31" s="6"/>
      <c r="V31" s="6"/>
      <c r="W31" s="6"/>
      <c r="X31" s="12"/>
      <c r="Y31" s="12"/>
      <c r="Z31" s="12"/>
      <c r="AA31" s="12"/>
      <c r="AB31" s="12"/>
      <c r="AC31" s="12"/>
    </row>
    <row r="32" spans="2:29" ht="14" customHeight="1" x14ac:dyDescent="0.15">
      <c r="B32" s="9"/>
      <c r="C32" s="62"/>
      <c r="D32" s="9"/>
      <c r="E32" s="9"/>
      <c r="F32" s="64"/>
      <c r="G32" s="64"/>
      <c r="H32" s="62"/>
      <c r="I32" s="64"/>
      <c r="J32" s="126"/>
      <c r="K32" s="9"/>
      <c r="U32" s="6"/>
      <c r="V32" s="6"/>
      <c r="W32" s="6"/>
      <c r="X32" s="12"/>
      <c r="Y32" s="12"/>
      <c r="Z32" s="12"/>
      <c r="AA32" s="12"/>
      <c r="AB32" s="12"/>
      <c r="AC32" s="12"/>
    </row>
    <row r="33" spans="2:34" ht="14" customHeight="1" x14ac:dyDescent="0.15">
      <c r="B33" s="9"/>
      <c r="C33" s="62"/>
      <c r="D33" s="9"/>
      <c r="E33" s="9"/>
      <c r="F33" s="64"/>
      <c r="G33" s="64"/>
      <c r="H33" s="62"/>
      <c r="I33" s="64"/>
      <c r="J33" s="126"/>
      <c r="K33" s="9"/>
      <c r="Q33" s="105"/>
      <c r="R33" s="106"/>
      <c r="S33" s="106"/>
      <c r="T33" s="106"/>
      <c r="U33" s="6"/>
      <c r="V33" s="6"/>
      <c r="W33" s="6"/>
      <c r="X33" s="12"/>
      <c r="Y33" s="12"/>
      <c r="Z33" s="12"/>
      <c r="AA33" s="12"/>
      <c r="AB33" s="12"/>
      <c r="AC33" s="12"/>
    </row>
    <row r="34" spans="2:34" ht="14" customHeight="1" x14ac:dyDescent="0.15">
      <c r="B34" s="9"/>
      <c r="C34" s="62"/>
      <c r="D34" s="9"/>
      <c r="E34" s="9"/>
      <c r="F34" s="64"/>
      <c r="G34" s="64"/>
      <c r="H34" s="62"/>
      <c r="I34" s="64"/>
      <c r="J34" s="126"/>
      <c r="K34" s="9"/>
      <c r="T34" s="106"/>
      <c r="U34" s="6"/>
      <c r="V34" s="6"/>
      <c r="W34" s="6"/>
      <c r="X34" s="12"/>
      <c r="Y34" s="12"/>
      <c r="Z34" s="12"/>
      <c r="AA34" s="12"/>
      <c r="AB34" s="12"/>
      <c r="AC34" s="12"/>
    </row>
    <row r="35" spans="2:34" ht="14" customHeight="1" x14ac:dyDescent="0.15">
      <c r="B35" s="9"/>
      <c r="C35" s="62"/>
      <c r="D35" s="9"/>
      <c r="E35" s="9"/>
      <c r="F35" s="64"/>
      <c r="G35" s="64"/>
      <c r="H35" s="62"/>
      <c r="I35" s="64"/>
      <c r="J35" s="126"/>
      <c r="K35" s="9"/>
      <c r="T35" s="106"/>
      <c r="U35" s="6"/>
      <c r="V35" s="6"/>
      <c r="W35" s="6"/>
      <c r="X35" s="12"/>
      <c r="Y35" s="12"/>
      <c r="Z35" s="12"/>
      <c r="AA35" s="12"/>
      <c r="AB35" s="12"/>
      <c r="AC35" s="12"/>
    </row>
    <row r="36" spans="2:34" ht="13" customHeight="1" x14ac:dyDescent="0.15">
      <c r="B36" s="9"/>
      <c r="C36" s="62"/>
      <c r="D36" s="9"/>
      <c r="E36" s="9"/>
      <c r="F36" s="64"/>
      <c r="G36" s="64"/>
      <c r="H36" s="62"/>
      <c r="I36" s="64"/>
      <c r="J36" s="126"/>
      <c r="K36" s="9"/>
      <c r="T36" s="106"/>
      <c r="U36" s="6"/>
      <c r="V36" s="6"/>
      <c r="W36" s="6"/>
      <c r="X36" s="12"/>
      <c r="Y36" s="12"/>
      <c r="Z36" s="12"/>
      <c r="AA36" s="12"/>
      <c r="AB36" s="12"/>
      <c r="AC36" s="12"/>
    </row>
    <row r="37" spans="2:34" ht="16" customHeight="1" x14ac:dyDescent="0.15">
      <c r="B37" s="558" t="s">
        <v>138</v>
      </c>
      <c r="C37" s="558"/>
      <c r="D37" s="558"/>
      <c r="E37" s="558"/>
      <c r="F37" s="558"/>
      <c r="H37" s="108"/>
      <c r="J37" s="175"/>
      <c r="M37" s="119"/>
      <c r="T37" s="106"/>
      <c r="U37" s="6"/>
      <c r="V37" s="6"/>
      <c r="W37" s="6"/>
      <c r="X37" s="12"/>
      <c r="Y37" s="12"/>
      <c r="Z37" s="12"/>
      <c r="AA37" s="12"/>
      <c r="AB37" s="12"/>
      <c r="AC37" s="12"/>
    </row>
    <row r="38" spans="2:34" ht="10" customHeight="1" x14ac:dyDescent="0.15">
      <c r="F38" s="176"/>
      <c r="I38" s="3"/>
      <c r="J38" s="176"/>
      <c r="P38" s="69"/>
      <c r="Q38" s="106"/>
      <c r="R38" s="106"/>
      <c r="S38" s="106"/>
      <c r="T38" s="6"/>
      <c r="U38" s="6"/>
      <c r="V38" s="6"/>
      <c r="W38" s="12"/>
      <c r="X38" s="12"/>
      <c r="Y38" s="12"/>
      <c r="Z38" s="12"/>
      <c r="AA38" s="12"/>
      <c r="AB38" s="12"/>
    </row>
    <row r="39" spans="2:34" ht="15" customHeight="1" x14ac:dyDescent="0.15">
      <c r="B39" s="162" t="s">
        <v>44</v>
      </c>
      <c r="C39" s="568" t="str">
        <f>Scoring!M33</f>
        <v>My group</v>
      </c>
      <c r="D39" s="568"/>
      <c r="E39" s="9"/>
      <c r="F39" s="176"/>
      <c r="I39" s="4"/>
      <c r="J39" s="176"/>
      <c r="K39" s="90"/>
      <c r="L39" s="133"/>
      <c r="M39" s="569"/>
      <c r="N39" s="569"/>
      <c r="O39" s="569"/>
      <c r="P39" s="64"/>
      <c r="Q39" s="12"/>
      <c r="R39" s="12"/>
      <c r="T39" s="74"/>
      <c r="U39" s="74"/>
      <c r="V39" s="74"/>
      <c r="W39" s="12"/>
      <c r="X39" s="12"/>
      <c r="Y39" s="12"/>
      <c r="Z39" s="12"/>
      <c r="AA39" s="12"/>
      <c r="AB39" s="12"/>
    </row>
    <row r="40" spans="2:34" ht="16" customHeight="1" x14ac:dyDescent="0.15">
      <c r="B40" s="30"/>
      <c r="C40" s="337" t="s">
        <v>20</v>
      </c>
      <c r="D40" s="337" t="s">
        <v>21</v>
      </c>
      <c r="E40" s="562" t="str">
        <f>Scoring!O35</f>
        <v>No data entered for other comparison group</v>
      </c>
      <c r="F40" s="562"/>
      <c r="I40" s="4"/>
      <c r="J40" s="176"/>
      <c r="K40" s="138"/>
      <c r="L40" s="139"/>
      <c r="M40" s="9"/>
      <c r="N40" s="9"/>
      <c r="O40" s="9"/>
      <c r="P40" s="64"/>
      <c r="Q40" s="22"/>
      <c r="R40" s="22"/>
      <c r="S40" s="65" t="s">
        <v>22</v>
      </c>
      <c r="T40" s="66"/>
      <c r="U40" s="1"/>
      <c r="V40" s="1"/>
      <c r="W40" s="12"/>
      <c r="X40" s="12"/>
      <c r="Y40" s="12"/>
      <c r="Z40" s="12"/>
      <c r="AA40" s="12"/>
      <c r="AB40" s="12"/>
    </row>
    <row r="41" spans="2:34" ht="15" customHeight="1" x14ac:dyDescent="0.15">
      <c r="B41" s="136" t="s">
        <v>23</v>
      </c>
      <c r="C41" s="338" t="str">
        <f>Scoring!M35</f>
        <v/>
      </c>
      <c r="D41" s="339" t="str">
        <f>Scoring!N35</f>
        <v/>
      </c>
      <c r="E41" s="562"/>
      <c r="F41" s="562"/>
      <c r="J41" s="176"/>
      <c r="L41" s="140"/>
      <c r="M41" s="144"/>
      <c r="N41" s="9"/>
      <c r="O41" s="9"/>
      <c r="P41" s="9"/>
      <c r="Q41" s="64"/>
      <c r="R41" s="16"/>
      <c r="S41" s="16"/>
      <c r="T41" s="65" t="s">
        <v>24</v>
      </c>
      <c r="U41" s="66"/>
      <c r="V41" s="1"/>
      <c r="W41" s="1"/>
      <c r="X41" s="12"/>
      <c r="Y41" s="12"/>
      <c r="Z41" s="12"/>
      <c r="AA41" s="12"/>
      <c r="AB41" s="12"/>
      <c r="AC41" s="12"/>
    </row>
    <row r="42" spans="2:34" ht="15" customHeight="1" x14ac:dyDescent="0.15">
      <c r="B42" s="136" t="s">
        <v>25</v>
      </c>
      <c r="C42" s="339" t="str">
        <f>Scoring!M36</f>
        <v/>
      </c>
      <c r="D42" s="339" t="str">
        <f>Scoring!N36</f>
        <v/>
      </c>
      <c r="E42" s="562"/>
      <c r="F42" s="562"/>
      <c r="J42" s="176"/>
      <c r="L42" s="9"/>
      <c r="M42" s="9"/>
      <c r="N42" s="9"/>
      <c r="O42" s="9"/>
      <c r="P42" s="9"/>
      <c r="Q42" s="64"/>
      <c r="R42" s="12"/>
      <c r="S42" s="12"/>
      <c r="T42" s="65" t="s">
        <v>26</v>
      </c>
      <c r="U42" s="66"/>
      <c r="V42" s="78">
        <v>1</v>
      </c>
      <c r="W42" s="1"/>
      <c r="X42" s="12"/>
      <c r="Y42" s="12"/>
      <c r="Z42" s="12"/>
      <c r="AA42" s="12"/>
      <c r="AB42" s="12"/>
      <c r="AC42" s="12"/>
    </row>
    <row r="43" spans="2:34" ht="15" customHeight="1" x14ac:dyDescent="0.15">
      <c r="B43" s="136" t="s">
        <v>47</v>
      </c>
      <c r="C43" s="340" t="str">
        <f>Scoring!M37</f>
        <v/>
      </c>
      <c r="D43" s="341" t="str">
        <f>Scoring!N37</f>
        <v/>
      </c>
      <c r="E43" s="9"/>
      <c r="G43" s="12"/>
      <c r="M43" s="9"/>
      <c r="N43" s="474"/>
      <c r="O43" s="474"/>
      <c r="P43" s="474"/>
      <c r="Q43" s="64"/>
      <c r="R43" s="12"/>
      <c r="S43" s="12"/>
      <c r="T43" s="65" t="s">
        <v>27</v>
      </c>
      <c r="U43" s="67"/>
      <c r="V43" s="79">
        <f>E14</f>
        <v>0.82608695652173914</v>
      </c>
      <c r="W43" s="1"/>
      <c r="X43" s="12"/>
      <c r="Y43" s="12"/>
      <c r="Z43" s="12"/>
      <c r="AA43" s="12"/>
      <c r="AB43" s="12"/>
      <c r="AC43" s="12"/>
    </row>
    <row r="44" spans="2:34" s="17" customFormat="1" ht="15" customHeight="1" x14ac:dyDescent="0.15">
      <c r="B44" s="234" t="s">
        <v>69</v>
      </c>
      <c r="C44" s="570" t="str">
        <f>Scoring!M38</f>
        <v/>
      </c>
      <c r="D44" s="570"/>
      <c r="F44"/>
      <c r="G44"/>
      <c r="H44"/>
      <c r="I44"/>
      <c r="J44"/>
      <c r="K44"/>
      <c r="L44" s="63"/>
      <c r="M44" s="63"/>
      <c r="N44" s="148"/>
      <c r="O44" s="571"/>
      <c r="P44" s="571"/>
      <c r="Q44" s="94"/>
      <c r="T44" s="19"/>
      <c r="U44" s="20"/>
      <c r="V44" s="78">
        <f>V42-V43</f>
        <v>0.17391304347826086</v>
      </c>
      <c r="W44" s="21"/>
    </row>
    <row r="45" spans="2:34" x14ac:dyDescent="0.15">
      <c r="B45" s="30"/>
      <c r="C45" s="314"/>
      <c r="D45" s="314"/>
      <c r="E45" s="314"/>
      <c r="M45" s="9"/>
      <c r="N45" s="149"/>
      <c r="O45" s="150"/>
      <c r="P45" s="150"/>
      <c r="Q45" s="64"/>
      <c r="R45" s="12"/>
      <c r="S45" s="12"/>
      <c r="T45" s="2"/>
      <c r="U45" s="7"/>
      <c r="V45" s="2"/>
      <c r="W45" s="1"/>
      <c r="X45" s="12"/>
      <c r="Y45" s="75"/>
      <c r="Z45" s="12"/>
      <c r="AA45" s="12"/>
      <c r="AB45" s="12"/>
      <c r="AC45" s="12"/>
    </row>
    <row r="46" spans="2:34" s="15" customFormat="1" ht="16.5" customHeight="1" x14ac:dyDescent="0.15">
      <c r="C46" s="572"/>
      <c r="D46" s="572"/>
      <c r="F46"/>
      <c r="G46"/>
      <c r="H46"/>
      <c r="I46"/>
      <c r="J46" s="16"/>
      <c r="K46"/>
      <c r="M46" s="149"/>
      <c r="N46" s="25"/>
      <c r="O46" s="145"/>
      <c r="P46" s="50"/>
      <c r="Q46" s="25"/>
      <c r="Y46" s="18"/>
      <c r="AD46" s="25"/>
      <c r="AE46" s="25"/>
      <c r="AF46" s="25"/>
      <c r="AG46" s="25"/>
      <c r="AH46" s="25"/>
    </row>
    <row r="47" spans="2:34" ht="15" customHeight="1" x14ac:dyDescent="0.15">
      <c r="F47" s="132"/>
      <c r="H47" s="133"/>
      <c r="I47" s="134"/>
      <c r="J47" s="69"/>
      <c r="K47" s="69"/>
      <c r="M47" s="149"/>
      <c r="N47" s="9"/>
      <c r="O47" s="145"/>
      <c r="P47" s="50"/>
      <c r="Q47" s="151"/>
      <c r="R47" s="12"/>
      <c r="S47" s="12"/>
      <c r="T47" s="7"/>
      <c r="U47" s="1"/>
      <c r="V47" s="1"/>
      <c r="W47" s="12"/>
      <c r="X47" s="12"/>
      <c r="Y47" s="76"/>
      <c r="Z47" s="12"/>
      <c r="AA47" s="12"/>
      <c r="AB47" s="12"/>
      <c r="AC47" s="12"/>
      <c r="AD47" s="472"/>
      <c r="AE47" s="472"/>
      <c r="AF47" s="472"/>
      <c r="AG47" s="472"/>
      <c r="AH47" s="472"/>
    </row>
    <row r="48" spans="2:34" ht="15" customHeight="1" x14ac:dyDescent="0.15">
      <c r="J48" s="157"/>
      <c r="M48" s="149"/>
      <c r="N48" s="9"/>
      <c r="O48" s="53"/>
      <c r="P48" s="146"/>
      <c r="Q48" s="64"/>
      <c r="R48" s="12"/>
      <c r="S48" s="12"/>
      <c r="T48" s="7"/>
      <c r="U48" s="55"/>
      <c r="V48" s="55"/>
      <c r="W48" s="64"/>
      <c r="X48" s="64"/>
      <c r="Y48" s="76"/>
      <c r="Z48" s="64"/>
      <c r="AA48" s="12"/>
      <c r="AB48" s="12"/>
      <c r="AC48" s="12"/>
      <c r="AD48" s="26"/>
      <c r="AE48" s="26"/>
      <c r="AF48" s="26"/>
      <c r="AG48" s="26"/>
      <c r="AH48" s="26"/>
    </row>
    <row r="49" spans="2:34" ht="15" customHeight="1" x14ac:dyDescent="0.15">
      <c r="L49" s="91"/>
      <c r="M49" s="149"/>
      <c r="N49" s="9"/>
      <c r="O49" s="152"/>
      <c r="P49" s="153"/>
      <c r="Q49" s="151"/>
      <c r="R49" s="70"/>
      <c r="S49" s="70"/>
      <c r="T49" s="7"/>
      <c r="U49" s="473"/>
      <c r="V49" s="473"/>
      <c r="W49" s="473"/>
      <c r="X49" s="473"/>
      <c r="Y49" s="473"/>
      <c r="Z49" s="473"/>
      <c r="AA49" s="12"/>
      <c r="AB49" s="12"/>
      <c r="AC49" s="12"/>
      <c r="AD49" s="27"/>
      <c r="AE49" s="28"/>
      <c r="AF49" s="28"/>
      <c r="AG49" s="28"/>
      <c r="AH49" s="28"/>
    </row>
    <row r="50" spans="2:34" ht="15" customHeight="1" x14ac:dyDescent="0.15">
      <c r="M50" s="9"/>
      <c r="N50" s="9"/>
      <c r="O50" s="159"/>
      <c r="P50" s="154"/>
      <c r="Q50" s="18"/>
      <c r="R50" s="71"/>
      <c r="S50" s="71"/>
      <c r="T50" s="7"/>
      <c r="U50" s="18"/>
      <c r="V50" s="18"/>
      <c r="W50" s="56"/>
      <c r="X50" s="64"/>
      <c r="Y50" s="56"/>
      <c r="Z50" s="156"/>
      <c r="AA50" s="12"/>
      <c r="AB50" s="12"/>
      <c r="AC50" s="12"/>
      <c r="AD50" s="9"/>
      <c r="AE50" s="9"/>
      <c r="AF50" s="9"/>
      <c r="AG50" s="9"/>
      <c r="AH50" s="9"/>
    </row>
    <row r="51" spans="2:34" ht="16.5" customHeight="1" x14ac:dyDescent="0.15">
      <c r="B51" s="31"/>
      <c r="C51" s="31"/>
      <c r="D51" s="31"/>
      <c r="E51" s="31"/>
      <c r="F51" s="31"/>
      <c r="G51" s="40"/>
      <c r="H51" s="31"/>
      <c r="I51" s="31"/>
      <c r="M51" s="9"/>
      <c r="N51" s="465"/>
      <c r="O51" s="465"/>
      <c r="P51" s="465"/>
      <c r="Q51" s="18"/>
      <c r="R51" s="72"/>
      <c r="S51" s="72"/>
      <c r="T51" s="7"/>
      <c r="U51" s="57"/>
      <c r="V51" s="18"/>
      <c r="W51" s="50"/>
      <c r="X51" s="64"/>
      <c r="Y51" s="68"/>
      <c r="Z51" s="18"/>
      <c r="AA51" s="12"/>
      <c r="AB51" s="12"/>
      <c r="AC51" s="12"/>
    </row>
    <row r="52" spans="2:34" ht="16.5" customHeight="1" x14ac:dyDescent="0.15">
      <c r="B52" s="41"/>
      <c r="C52" s="41"/>
      <c r="D52" s="40"/>
      <c r="E52" s="40"/>
      <c r="F52" s="41"/>
      <c r="G52" s="40"/>
      <c r="H52" s="41"/>
      <c r="I52" s="40"/>
      <c r="M52" s="9"/>
      <c r="N52" s="9"/>
      <c r="O52" s="9"/>
      <c r="P52" s="9"/>
      <c r="Q52" s="18"/>
      <c r="R52" s="72"/>
      <c r="S52" s="72"/>
      <c r="T52" s="8"/>
      <c r="U52" s="57"/>
      <c r="V52" s="18"/>
      <c r="W52" s="68"/>
      <c r="X52" s="64"/>
      <c r="Y52" s="68"/>
      <c r="Z52" s="156"/>
      <c r="AA52" s="12"/>
      <c r="AB52" s="12"/>
      <c r="AC52" s="12"/>
    </row>
    <row r="53" spans="2:34" x14ac:dyDescent="0.15">
      <c r="B53" s="42"/>
      <c r="C53" s="41"/>
      <c r="D53" s="43"/>
      <c r="E53" s="43"/>
      <c r="F53" s="44"/>
      <c r="G53" s="45"/>
      <c r="H53" s="41"/>
      <c r="I53" s="29"/>
      <c r="K53" s="31"/>
      <c r="M53" s="9"/>
      <c r="N53" s="9"/>
      <c r="O53" s="9"/>
      <c r="P53" s="9"/>
      <c r="Q53" s="18"/>
      <c r="R53" s="73"/>
      <c r="S53" s="73"/>
      <c r="T53" s="7"/>
      <c r="U53" s="57"/>
      <c r="V53" s="18"/>
      <c r="W53" s="53"/>
      <c r="X53" s="64"/>
      <c r="Y53" s="68"/>
      <c r="Z53" s="68"/>
      <c r="AA53" s="12"/>
      <c r="AB53" s="12"/>
      <c r="AC53" s="12"/>
    </row>
    <row r="54" spans="2:34" ht="10.5" customHeight="1" x14ac:dyDescent="0.15">
      <c r="G54" s="41"/>
      <c r="H54" s="41"/>
      <c r="I54" s="29"/>
      <c r="M54" s="9"/>
      <c r="N54" s="9"/>
      <c r="O54" s="9"/>
      <c r="P54" s="9"/>
      <c r="Q54" s="147"/>
      <c r="R54" s="12"/>
      <c r="S54" s="12"/>
      <c r="T54" s="2"/>
      <c r="U54" s="57"/>
      <c r="V54" s="18"/>
      <c r="W54" s="53"/>
      <c r="X54" s="18"/>
      <c r="Y54" s="156"/>
      <c r="Z54" s="18"/>
      <c r="AA54" s="12"/>
      <c r="AB54" s="12"/>
      <c r="AC54" s="12"/>
    </row>
    <row r="55" spans="2:34" x14ac:dyDescent="0.15">
      <c r="M55" s="9"/>
      <c r="N55" s="9"/>
      <c r="O55" s="9"/>
      <c r="P55" s="9"/>
      <c r="Q55" s="9"/>
      <c r="R55" s="12"/>
      <c r="S55" s="12"/>
      <c r="T55" s="2"/>
      <c r="U55" s="58"/>
      <c r="V55" s="58"/>
      <c r="W55" s="77"/>
      <c r="X55" s="59"/>
      <c r="Y55" s="60"/>
      <c r="Z55" s="58"/>
      <c r="AA55" s="12"/>
      <c r="AB55" s="12"/>
      <c r="AC55" s="12"/>
    </row>
    <row r="56" spans="2:34" x14ac:dyDescent="0.15">
      <c r="M56" s="9"/>
      <c r="N56" s="9"/>
      <c r="O56" s="9"/>
      <c r="P56" s="9"/>
      <c r="Q56" s="9"/>
      <c r="R56" s="12"/>
      <c r="S56" s="12"/>
      <c r="T56" s="2"/>
      <c r="U56" s="61"/>
      <c r="V56" s="62"/>
      <c r="W56" s="62"/>
      <c r="X56" s="64"/>
      <c r="Y56" s="64"/>
      <c r="Z56" s="64"/>
      <c r="AA56" s="12"/>
      <c r="AB56" s="12"/>
      <c r="AC56" s="12"/>
    </row>
    <row r="57" spans="2:34" x14ac:dyDescent="0.15">
      <c r="G57" s="23"/>
      <c r="H57" s="23"/>
      <c r="L57" s="4"/>
      <c r="M57" s="4"/>
      <c r="N57" s="4"/>
      <c r="R57" s="12"/>
      <c r="S57" s="12"/>
      <c r="T57" s="2"/>
      <c r="U57" s="61"/>
      <c r="V57" s="62"/>
      <c r="W57" s="55"/>
      <c r="X57" s="64"/>
      <c r="Y57" s="64"/>
      <c r="Z57" s="64"/>
      <c r="AA57" s="12"/>
      <c r="AB57" s="12"/>
      <c r="AC57" s="12"/>
    </row>
    <row r="58" spans="2:34" x14ac:dyDescent="0.15">
      <c r="D58" s="141"/>
      <c r="G58" s="33"/>
      <c r="H58" s="32"/>
      <c r="I58" s="34"/>
      <c r="J58" s="32"/>
      <c r="K58" s="32"/>
      <c r="L58" s="4"/>
      <c r="M58" s="4"/>
      <c r="N58" s="4"/>
      <c r="R58" s="12"/>
      <c r="S58" s="12"/>
      <c r="T58" s="2"/>
      <c r="U58" s="7"/>
      <c r="V58" s="1"/>
      <c r="W58" s="1"/>
      <c r="X58" s="12"/>
      <c r="Y58" s="12"/>
      <c r="Z58" s="12"/>
      <c r="AA58" s="12"/>
      <c r="AB58" s="12"/>
      <c r="AC58" s="12"/>
    </row>
    <row r="59" spans="2:34" x14ac:dyDescent="0.15">
      <c r="D59" s="142"/>
      <c r="G59" s="49"/>
      <c r="H59" s="49"/>
      <c r="I59" s="49"/>
      <c r="J59" s="49"/>
      <c r="K59" s="49"/>
      <c r="L59" s="5"/>
      <c r="M59" s="5"/>
      <c r="N59" s="5"/>
      <c r="R59" s="12"/>
      <c r="S59" s="12"/>
      <c r="T59" s="2"/>
      <c r="U59" s="7"/>
      <c r="V59" s="2"/>
      <c r="W59" s="1"/>
      <c r="X59" s="12"/>
      <c r="Y59" s="12"/>
      <c r="Z59" s="12"/>
      <c r="AA59" s="12"/>
      <c r="AB59" s="12"/>
      <c r="AC59" s="12"/>
    </row>
    <row r="60" spans="2:34" x14ac:dyDescent="0.15">
      <c r="B60" s="32"/>
      <c r="C60" s="32"/>
      <c r="D60" s="32"/>
      <c r="E60" s="32"/>
      <c r="F60" s="32"/>
      <c r="G60" s="49"/>
      <c r="H60" s="49"/>
      <c r="I60" s="49"/>
      <c r="J60" s="49"/>
      <c r="K60" s="49"/>
      <c r="L60" s="5"/>
      <c r="M60" s="5"/>
      <c r="N60" s="5"/>
      <c r="Q60" s="12"/>
      <c r="R60" s="12"/>
      <c r="S60" s="12"/>
      <c r="T60" s="2"/>
      <c r="U60" s="7"/>
      <c r="V60" s="1"/>
      <c r="W60" s="1"/>
      <c r="X60" s="12"/>
      <c r="Y60" s="12"/>
      <c r="Z60" s="12"/>
      <c r="AA60" s="12"/>
      <c r="AB60" s="12"/>
      <c r="AC60" s="12"/>
    </row>
    <row r="61" spans="2:34" x14ac:dyDescent="0.15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5"/>
      <c r="M61" s="5"/>
      <c r="N61" s="5"/>
      <c r="Q61" s="12"/>
      <c r="R61" s="12"/>
      <c r="S61" s="12"/>
      <c r="T61" s="2"/>
      <c r="U61" s="7"/>
      <c r="V61" s="2"/>
      <c r="W61" s="1"/>
      <c r="X61" s="12"/>
      <c r="Y61" s="12"/>
      <c r="Z61" s="12"/>
      <c r="AA61" s="12"/>
      <c r="AB61" s="12"/>
      <c r="AC61" s="12"/>
    </row>
    <row r="62" spans="2:34" x14ac:dyDescent="0.15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5"/>
      <c r="M62" s="5"/>
      <c r="N62" s="5"/>
      <c r="Q62" s="12"/>
      <c r="R62" s="12"/>
      <c r="S62" s="12"/>
      <c r="T62" s="2"/>
      <c r="U62" s="7"/>
      <c r="V62" s="2"/>
      <c r="W62" s="1"/>
      <c r="X62" s="12"/>
      <c r="Y62" s="12"/>
      <c r="Z62" s="12"/>
      <c r="AA62" s="12"/>
      <c r="AB62" s="12"/>
      <c r="AC62" s="12"/>
    </row>
    <row r="63" spans="2:34" x14ac:dyDescent="0.15">
      <c r="G63" s="32"/>
      <c r="H63" s="32"/>
      <c r="I63" s="32"/>
      <c r="J63" s="32"/>
      <c r="K63" s="32"/>
      <c r="Q63" s="12"/>
      <c r="R63" s="12"/>
      <c r="S63" s="12"/>
      <c r="T63" s="2"/>
      <c r="U63" s="7"/>
      <c r="V63" s="2"/>
      <c r="W63" s="1"/>
      <c r="X63" s="12"/>
      <c r="Y63" s="12"/>
      <c r="Z63" s="12"/>
      <c r="AA63" s="12"/>
      <c r="AB63" s="12"/>
      <c r="AC63" s="12"/>
    </row>
    <row r="64" spans="2:34" x14ac:dyDescent="0.15">
      <c r="G64" s="32"/>
      <c r="H64" s="32"/>
      <c r="I64" s="32"/>
      <c r="J64" s="32"/>
      <c r="K64" s="32"/>
      <c r="Q64" s="12"/>
      <c r="R64" s="12"/>
      <c r="S64" s="12"/>
      <c r="T64" s="2"/>
      <c r="U64" s="7"/>
      <c r="V64" s="1"/>
      <c r="W64" s="1"/>
      <c r="X64" s="12"/>
      <c r="Y64" s="12"/>
      <c r="Z64" s="12"/>
      <c r="AA64" s="12"/>
      <c r="AB64" s="12"/>
      <c r="AC64" s="12"/>
    </row>
    <row r="65" spans="2:29" x14ac:dyDescent="0.15">
      <c r="G65" s="32"/>
      <c r="H65" s="32"/>
      <c r="I65" s="32"/>
      <c r="J65" s="32"/>
      <c r="K65" s="32"/>
      <c r="Q65" s="12"/>
      <c r="R65" s="12"/>
      <c r="S65" s="12"/>
      <c r="T65" s="2"/>
      <c r="U65" s="7"/>
      <c r="V65" s="1"/>
      <c r="W65" s="2"/>
      <c r="X65" s="12"/>
      <c r="Y65" s="12"/>
      <c r="Z65" s="12"/>
      <c r="AA65" s="12"/>
      <c r="AB65" s="12"/>
      <c r="AC65" s="12"/>
    </row>
    <row r="66" spans="2:29" ht="15" customHeight="1" x14ac:dyDescent="0.15">
      <c r="G66" s="32"/>
      <c r="H66" s="32"/>
      <c r="I66" s="32"/>
      <c r="J66" s="32"/>
      <c r="K66" s="32"/>
      <c r="Q66" s="12"/>
      <c r="R66" s="12"/>
      <c r="S66" s="12"/>
      <c r="T66" s="2"/>
      <c r="U66" s="7"/>
      <c r="V66" s="2"/>
      <c r="W66" s="1"/>
      <c r="X66" s="12"/>
      <c r="Y66" s="12"/>
      <c r="Z66" s="12"/>
      <c r="AA66" s="12"/>
      <c r="AB66" s="12"/>
      <c r="AC66" s="12"/>
    </row>
    <row r="67" spans="2:29" ht="8" customHeight="1" x14ac:dyDescent="0.15">
      <c r="G67" s="32"/>
      <c r="H67" s="32"/>
      <c r="I67" s="32"/>
      <c r="J67" s="32"/>
      <c r="K67" s="32"/>
      <c r="Q67" s="12"/>
      <c r="R67" s="12"/>
      <c r="S67" s="12"/>
      <c r="T67" s="2"/>
      <c r="U67" s="7"/>
      <c r="V67" s="2"/>
      <c r="W67" s="1"/>
      <c r="X67" s="12"/>
      <c r="Y67" s="12"/>
      <c r="Z67" s="12"/>
      <c r="AA67" s="12"/>
      <c r="AB67" s="12"/>
      <c r="AC67" s="12"/>
    </row>
    <row r="68" spans="2:29" x14ac:dyDescent="0.15">
      <c r="G68" s="32"/>
      <c r="H68" s="32"/>
      <c r="I68" s="32"/>
      <c r="J68" s="32"/>
      <c r="K68" s="32"/>
      <c r="Q68" s="12"/>
      <c r="R68" s="12"/>
      <c r="S68" s="12"/>
      <c r="T68" s="2"/>
      <c r="U68" s="7"/>
      <c r="V68" s="2"/>
      <c r="W68" s="1"/>
      <c r="X68" s="12"/>
      <c r="Y68" s="12"/>
      <c r="Z68" s="12"/>
      <c r="AA68" s="12"/>
      <c r="AB68" s="12"/>
      <c r="AC68" s="12"/>
    </row>
    <row r="69" spans="2:29" ht="14" x14ac:dyDescent="0.15"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69"/>
      <c r="M69" s="69"/>
      <c r="N69" s="69"/>
      <c r="O69" s="69"/>
      <c r="P69" s="69"/>
      <c r="Q69" s="69"/>
      <c r="T69" s="2"/>
      <c r="U69" s="7"/>
      <c r="V69" s="2"/>
      <c r="W69" s="1"/>
      <c r="Z69" s="47"/>
    </row>
    <row r="70" spans="2:29" x14ac:dyDescent="0.15">
      <c r="B70" s="32"/>
      <c r="C70" s="32"/>
      <c r="D70" s="32"/>
      <c r="E70" s="32"/>
      <c r="F70" s="32"/>
      <c r="G70" s="32"/>
      <c r="H70" s="32"/>
      <c r="I70" s="32"/>
      <c r="J70" s="32"/>
      <c r="K70" s="32"/>
      <c r="T70" s="2"/>
      <c r="U70" s="7"/>
      <c r="V70" s="1"/>
      <c r="W70" s="1"/>
      <c r="Z70" s="11"/>
    </row>
    <row r="71" spans="2:29" x14ac:dyDescent="0.15">
      <c r="O71" s="12"/>
      <c r="T71" s="2"/>
      <c r="U71" s="7"/>
      <c r="V71" s="2"/>
      <c r="W71" s="1"/>
    </row>
    <row r="72" spans="2:29" x14ac:dyDescent="0.15">
      <c r="T72" s="2"/>
      <c r="U72" s="7"/>
      <c r="W72" s="1"/>
    </row>
    <row r="73" spans="2:29" x14ac:dyDescent="0.15">
      <c r="T73" s="2"/>
      <c r="U73" s="7"/>
      <c r="W73" s="1"/>
    </row>
    <row r="74" spans="2:29" ht="12" customHeight="1" x14ac:dyDescent="0.15">
      <c r="T74" s="2"/>
      <c r="U74" s="7"/>
      <c r="W74" s="1"/>
      <c r="Z74" s="46" t="str">
        <f>CONCATENATE("Of the 45 targets, ",C26," ","were identified with ",C27," ","commission errors. This corresponds to an Accuracy Index of "&amp;TEXT(C29,"0% ")&amp;"which contrasts with the average of 95% for healthy individuals.")</f>
        <v>Of the 45 targets,  were identified with  commission errors. This corresponds to an Accuracy Index of 0% which contrasts with the average of 95% for healthy individuals.</v>
      </c>
    </row>
    <row r="75" spans="2:29" ht="12.75" customHeight="1" x14ac:dyDescent="0.15">
      <c r="L75" s="31"/>
      <c r="M75" s="31"/>
      <c r="N75" s="31"/>
      <c r="T75" s="2"/>
      <c r="U75" s="7"/>
      <c r="W75" s="1"/>
      <c r="Z75" s="46"/>
    </row>
    <row r="76" spans="2:29" ht="10.5" customHeight="1" x14ac:dyDescent="0.15">
      <c r="T76" s="2"/>
      <c r="U76" s="7"/>
      <c r="W76" s="1"/>
      <c r="Z76" s="46"/>
    </row>
    <row r="77" spans="2:29" ht="13" customHeight="1" x14ac:dyDescent="0.15">
      <c r="T77" s="1"/>
      <c r="U77" s="7"/>
      <c r="W77" s="1"/>
      <c r="Z77" s="14" t="e">
        <f>CONCATENATE("The Accuracy Index, which takes into account correct answers and errors, is " &amp;TEXT('Healthy Controls'!#REF!,"0%")&amp;" different from the normative sample.")</f>
        <v>#REF!</v>
      </c>
    </row>
    <row r="78" spans="2:29" ht="13" customHeight="1" x14ac:dyDescent="0.15">
      <c r="T78" s="2"/>
      <c r="U78" s="8"/>
      <c r="W78" s="1"/>
    </row>
    <row r="79" spans="2:29" ht="13" customHeight="1" x14ac:dyDescent="0.15">
      <c r="T79" s="2"/>
      <c r="U79" s="7"/>
    </row>
    <row r="80" spans="2:29" x14ac:dyDescent="0.15">
      <c r="L80" s="32"/>
      <c r="M80" s="32"/>
      <c r="N80" s="32"/>
      <c r="O80" s="32"/>
      <c r="P80" s="32"/>
      <c r="Q80" s="32"/>
      <c r="R80" s="32"/>
      <c r="S80" s="32"/>
      <c r="T80" s="35"/>
      <c r="U80" s="36"/>
      <c r="V80" s="32"/>
      <c r="W80" s="32"/>
    </row>
    <row r="81" spans="2:23" ht="13" customHeight="1" x14ac:dyDescent="0.15">
      <c r="L81" s="49"/>
      <c r="M81" s="49"/>
      <c r="N81" s="49"/>
      <c r="O81" s="49"/>
      <c r="P81" s="49"/>
      <c r="Q81" s="49"/>
      <c r="R81" s="32"/>
      <c r="S81" s="32"/>
      <c r="T81" s="35"/>
      <c r="U81" s="36"/>
      <c r="V81" s="32"/>
      <c r="W81" s="32"/>
    </row>
    <row r="82" spans="2:23" ht="6" customHeight="1" x14ac:dyDescent="0.15">
      <c r="L82" s="49"/>
      <c r="M82" s="49"/>
      <c r="N82" s="49"/>
      <c r="O82" s="49"/>
      <c r="P82" s="49"/>
      <c r="Q82" s="49"/>
      <c r="R82" s="32"/>
      <c r="S82" s="32"/>
      <c r="T82" s="35"/>
      <c r="U82" s="37"/>
      <c r="V82" s="32"/>
      <c r="W82" s="32"/>
    </row>
    <row r="83" spans="2:23" x14ac:dyDescent="0.15">
      <c r="L83" s="32"/>
      <c r="M83" s="32"/>
      <c r="N83" s="32"/>
      <c r="O83" s="32"/>
      <c r="P83" s="32"/>
      <c r="Q83" s="32"/>
      <c r="R83" s="32"/>
      <c r="S83" s="32"/>
      <c r="T83" s="35"/>
      <c r="U83" s="36"/>
      <c r="V83" s="32"/>
      <c r="W83" s="32"/>
    </row>
    <row r="84" spans="2:23" s="13" customFormat="1" x14ac:dyDescent="0.15">
      <c r="B84"/>
      <c r="C84"/>
      <c r="D84"/>
      <c r="E84"/>
      <c r="F84"/>
      <c r="G84"/>
      <c r="H84"/>
      <c r="I84"/>
      <c r="J84"/>
      <c r="K84"/>
      <c r="L84" s="38"/>
      <c r="M84" s="38"/>
      <c r="N84" s="38"/>
      <c r="O84" s="38"/>
      <c r="P84" s="38"/>
      <c r="Q84" s="48"/>
      <c r="R84" s="48"/>
      <c r="S84" s="48"/>
      <c r="T84" s="48"/>
      <c r="U84" s="48"/>
      <c r="V84" s="48"/>
      <c r="W84" s="48"/>
    </row>
    <row r="85" spans="2:23" x14ac:dyDescent="0.15">
      <c r="L85" s="32"/>
      <c r="M85" s="32"/>
      <c r="N85" s="32"/>
      <c r="O85" s="32"/>
      <c r="P85" s="32"/>
      <c r="Q85" s="32"/>
      <c r="R85" s="32"/>
      <c r="S85" s="32"/>
      <c r="T85" s="39"/>
      <c r="U85" s="36"/>
      <c r="V85" s="32"/>
      <c r="W85" s="32"/>
    </row>
    <row r="86" spans="2:23" x14ac:dyDescent="0.15">
      <c r="L86" s="32"/>
      <c r="M86" s="32"/>
      <c r="N86" s="32"/>
      <c r="O86" s="32"/>
      <c r="P86" s="32"/>
      <c r="Q86" s="32"/>
      <c r="R86" s="32"/>
      <c r="S86" s="32"/>
      <c r="T86" s="39"/>
      <c r="U86" s="36"/>
      <c r="V86" s="32"/>
      <c r="W86" s="32"/>
    </row>
    <row r="87" spans="2:23" x14ac:dyDescent="0.15">
      <c r="L87" s="32"/>
      <c r="M87" s="32"/>
      <c r="N87" s="32"/>
      <c r="O87" s="32"/>
      <c r="P87" s="32"/>
      <c r="Q87" s="32"/>
      <c r="R87" s="32"/>
      <c r="S87" s="32"/>
      <c r="T87" s="35"/>
      <c r="U87" s="36"/>
      <c r="V87" s="32"/>
      <c r="W87" s="32"/>
    </row>
    <row r="88" spans="2:23" x14ac:dyDescent="0.15">
      <c r="L88" s="32"/>
      <c r="M88" s="32"/>
      <c r="N88" s="32"/>
      <c r="O88" s="32"/>
      <c r="P88" s="32"/>
      <c r="Q88" s="32"/>
      <c r="R88" s="32"/>
      <c r="S88" s="32"/>
      <c r="T88" s="35"/>
      <c r="U88" s="36"/>
      <c r="V88" s="32"/>
      <c r="W88" s="32"/>
    </row>
    <row r="89" spans="2:23" x14ac:dyDescent="0.15">
      <c r="L89" s="32"/>
      <c r="M89" s="32"/>
      <c r="N89" s="32"/>
      <c r="O89" s="32"/>
      <c r="P89" s="32"/>
      <c r="Q89" s="32"/>
      <c r="R89" s="32"/>
      <c r="S89" s="32"/>
      <c r="T89" s="35"/>
      <c r="U89" s="36"/>
      <c r="V89" s="32"/>
      <c r="W89" s="32"/>
    </row>
    <row r="90" spans="2:23" x14ac:dyDescent="0.15">
      <c r="L90" s="32"/>
      <c r="M90" s="32"/>
      <c r="N90" s="32"/>
      <c r="O90" s="32"/>
      <c r="P90" s="32"/>
      <c r="Q90" s="32"/>
      <c r="R90" s="32"/>
      <c r="S90" s="32"/>
      <c r="T90" s="35"/>
      <c r="U90" s="36"/>
      <c r="V90" s="32"/>
      <c r="W90" s="32"/>
    </row>
    <row r="91" spans="2:23" x14ac:dyDescent="0.15">
      <c r="L91" s="32"/>
      <c r="M91" s="32"/>
      <c r="N91" s="32"/>
      <c r="O91" s="32"/>
      <c r="P91" s="32"/>
      <c r="Q91" s="32"/>
      <c r="R91" s="32"/>
      <c r="S91" s="32"/>
      <c r="T91" s="35"/>
      <c r="U91" s="32"/>
      <c r="V91" s="32"/>
      <c r="W91" s="32"/>
    </row>
    <row r="92" spans="2:23" x14ac:dyDescent="0.15">
      <c r="L92" s="32"/>
      <c r="M92" s="32"/>
      <c r="N92" s="32"/>
      <c r="O92" s="32"/>
      <c r="P92" s="32"/>
      <c r="Q92" s="32"/>
      <c r="R92" s="32"/>
      <c r="S92" s="32"/>
      <c r="T92" s="35"/>
      <c r="U92" s="32"/>
      <c r="V92" s="32"/>
      <c r="W92" s="32"/>
    </row>
    <row r="93" spans="2:23" x14ac:dyDescent="0.15">
      <c r="T93" s="2"/>
    </row>
    <row r="94" spans="2:23" x14ac:dyDescent="0.15">
      <c r="T94" s="2"/>
    </row>
  </sheetData>
  <mergeCells count="36">
    <mergeCell ref="N51:P51"/>
    <mergeCell ref="C39:D39"/>
    <mergeCell ref="M39:O39"/>
    <mergeCell ref="N43:P43"/>
    <mergeCell ref="C44:D44"/>
    <mergeCell ref="O44:P44"/>
    <mergeCell ref="C46:D46"/>
    <mergeCell ref="B37:F37"/>
    <mergeCell ref="B16:F16"/>
    <mergeCell ref="H22:J22"/>
    <mergeCell ref="AD47:AH47"/>
    <mergeCell ref="U49:Z49"/>
    <mergeCell ref="H25:J25"/>
    <mergeCell ref="B25:F25"/>
    <mergeCell ref="E40:F42"/>
    <mergeCell ref="H19:I19"/>
    <mergeCell ref="B30:G30"/>
    <mergeCell ref="H20:I20"/>
    <mergeCell ref="H21:I21"/>
    <mergeCell ref="H23:J23"/>
    <mergeCell ref="H16:J16"/>
    <mergeCell ref="H18:I18"/>
    <mergeCell ref="C22:F22"/>
    <mergeCell ref="C2:E2"/>
    <mergeCell ref="D6:J6"/>
    <mergeCell ref="H12:J12"/>
    <mergeCell ref="H13:J13"/>
    <mergeCell ref="E9:F9"/>
    <mergeCell ref="G5:H5"/>
    <mergeCell ref="D7:J7"/>
    <mergeCell ref="B5:C5"/>
    <mergeCell ref="E10:F10"/>
    <mergeCell ref="E11:F11"/>
    <mergeCell ref="E12:F12"/>
    <mergeCell ref="E13:F13"/>
    <mergeCell ref="G4:H4"/>
  </mergeCells>
  <phoneticPr fontId="1" type="noConversion"/>
  <conditionalFormatting sqref="C44:D44">
    <cfRule type="cellIs" dxfId="2" priority="2" operator="lessThan">
      <formula>-1.499</formula>
    </cfRule>
  </conditionalFormatting>
  <conditionalFormatting sqref="D19:D21">
    <cfRule type="cellIs" dxfId="1" priority="1" operator="lessThan">
      <formula>-1.499</formula>
    </cfRule>
  </conditionalFormatting>
  <conditionalFormatting sqref="E10:E13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{08F2E992-2E8D-4B17-AF1E-E84F3618B0B8}</x14:id>
        </ext>
      </extLst>
    </cfRule>
  </conditionalFormatting>
  <conditionalFormatting sqref="J21">
    <cfRule type="cellIs" dxfId="0" priority="3" operator="greaterThan">
      <formula>0.1</formula>
    </cfRule>
  </conditionalFormatting>
  <dataValidations disablePrompts="1" count="1">
    <dataValidation type="list" allowBlank="1" showInputMessage="1" showErrorMessage="1" sqref="J18" xr:uid="{802BC4A9-B948-4A45-BA1A-EE34B37370DE}">
      <formula1>"No response or Unable to answer, Easy, Little difficult, Moderately difficult, Extremely difficult"</formula1>
    </dataValidation>
  </dataValidations>
  <hyperlinks>
    <hyperlink ref="B4" r:id="rId1" xr:uid="{D38C21D7-CA47-4784-9FD7-5E43B0EAAD6B}"/>
  </hyperlinks>
  <printOptions horizontalCentered="1" verticalCentered="1"/>
  <pageMargins left="0.25" right="0.25" top="0.25" bottom="0.5" header="0.5" footer="0.5"/>
  <pageSetup orientation="portrait" blackAndWhite="1" horizontalDpi="4294967292" verticalDpi="4294967292" r:id="rId2"/>
  <ignoredErrors>
    <ignoredError sqref="C41 D41:D43" unlockedFormula="1"/>
  </ignoredErrors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8F2E992-2E8D-4B17-AF1E-E84F3618B0B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E10:E13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920B-A9C7-F340-BE1B-EECB40ED09B0}">
  <dimension ref="A2:M25"/>
  <sheetViews>
    <sheetView showGridLines="0" workbookViewId="0">
      <selection activeCell="B27" sqref="B27"/>
    </sheetView>
  </sheetViews>
  <sheetFormatPr baseColWidth="10" defaultColWidth="11" defaultRowHeight="12" x14ac:dyDescent="0.15"/>
  <cols>
    <col min="1" max="1" width="4.3984375" customWidth="1"/>
    <col min="2" max="2" width="39.19921875" customWidth="1"/>
    <col min="3" max="3" width="23.59765625" customWidth="1"/>
    <col min="4" max="4" width="40.3984375" customWidth="1"/>
  </cols>
  <sheetData>
    <row r="2" spans="2:13" s="352" customFormat="1" ht="36" customHeight="1" x14ac:dyDescent="0.15">
      <c r="B2" s="349" t="s">
        <v>119</v>
      </c>
      <c r="C2" s="349"/>
      <c r="D2" s="349"/>
      <c r="E2" s="353"/>
      <c r="F2" s="353"/>
      <c r="G2" s="353"/>
      <c r="H2" s="353"/>
      <c r="I2" s="353"/>
      <c r="J2" s="353"/>
      <c r="K2" s="353"/>
      <c r="L2" s="353"/>
      <c r="M2" s="353"/>
    </row>
    <row r="3" spans="2:13" ht="32.5" customHeight="1" x14ac:dyDescent="0.15">
      <c r="B3" s="577" t="s">
        <v>117</v>
      </c>
      <c r="C3" s="578"/>
      <c r="D3" s="578"/>
    </row>
    <row r="4" spans="2:13" s="115" customFormat="1" ht="8" customHeight="1" thickBot="1" x14ac:dyDescent="0.2">
      <c r="C4" s="351"/>
    </row>
    <row r="5" spans="2:13" ht="18" customHeight="1" thickTop="1" x14ac:dyDescent="0.15">
      <c r="B5" s="574" t="s">
        <v>114</v>
      </c>
      <c r="C5" s="575"/>
      <c r="D5" s="576"/>
    </row>
    <row r="6" spans="2:13" s="354" customFormat="1" ht="16" customHeight="1" x14ac:dyDescent="0.15">
      <c r="B6" s="425" t="s">
        <v>109</v>
      </c>
      <c r="C6" s="426" t="s">
        <v>115</v>
      </c>
      <c r="D6" s="419" t="s">
        <v>110</v>
      </c>
    </row>
    <row r="7" spans="2:13" s="352" customFormat="1" ht="16" customHeight="1" x14ac:dyDescent="0.15">
      <c r="B7" s="417" t="s">
        <v>111</v>
      </c>
      <c r="C7" s="418">
        <f>Scoring!F10</f>
        <v>15</v>
      </c>
      <c r="D7" s="419">
        <f>Scoring!G10</f>
        <v>0</v>
      </c>
    </row>
    <row r="8" spans="2:13" s="352" customFormat="1" ht="16" customHeight="1" x14ac:dyDescent="0.15">
      <c r="B8" s="417" t="s">
        <v>112</v>
      </c>
      <c r="C8" s="418">
        <f>Scoring!F11</f>
        <v>14</v>
      </c>
      <c r="D8" s="419">
        <f>Scoring!G11</f>
        <v>0</v>
      </c>
    </row>
    <row r="9" spans="2:13" s="352" customFormat="1" ht="16" customHeight="1" thickBot="1" x14ac:dyDescent="0.2">
      <c r="B9" s="420" t="s">
        <v>113</v>
      </c>
      <c r="C9" s="421">
        <f>Scoring!F12</f>
        <v>9</v>
      </c>
      <c r="D9" s="422">
        <f>Scoring!G12</f>
        <v>1</v>
      </c>
    </row>
    <row r="10" spans="2:13" ht="13" thickTop="1" x14ac:dyDescent="0.15"/>
    <row r="12" spans="2:13" ht="24" customHeight="1" x14ac:dyDescent="0.15">
      <c r="B12" s="357" t="str">
        <f>HYPERLINK("https://openai.com", "OpenAI Click Here")</f>
        <v>OpenAI Click Here</v>
      </c>
      <c r="D12" s="356" t="str">
        <f>HYPERLINK("https://gemini.google.com/app", "Google Gemini Click Here")</f>
        <v>Google Gemini Click Here</v>
      </c>
    </row>
    <row r="13" spans="2:13" ht="10" customHeight="1" x14ac:dyDescent="0.15"/>
    <row r="14" spans="2:13" ht="14" x14ac:dyDescent="0.2">
      <c r="B14" s="436" t="s">
        <v>122</v>
      </c>
      <c r="C14" s="423"/>
      <c r="D14" s="436" t="s">
        <v>116</v>
      </c>
    </row>
    <row r="15" spans="2:13" ht="14" x14ac:dyDescent="0.15">
      <c r="D15" s="355"/>
    </row>
    <row r="17" spans="1:4" s="423" customFormat="1" ht="14" x14ac:dyDescent="0.2">
      <c r="B17" s="579" t="s">
        <v>133</v>
      </c>
      <c r="C17" s="579"/>
      <c r="D17" s="579"/>
    </row>
    <row r="18" spans="1:4" s="423" customFormat="1" ht="12" customHeight="1" x14ac:dyDescent="0.2"/>
    <row r="19" spans="1:4" s="423" customFormat="1" ht="14" x14ac:dyDescent="0.2">
      <c r="A19" s="433">
        <v>1</v>
      </c>
      <c r="B19" s="424" t="s">
        <v>134</v>
      </c>
    </row>
    <row r="20" spans="1:4" s="423" customFormat="1" ht="10" customHeight="1" x14ac:dyDescent="0.2">
      <c r="A20" s="433"/>
    </row>
    <row r="21" spans="1:4" s="423" customFormat="1" ht="11.5" customHeight="1" x14ac:dyDescent="0.2">
      <c r="A21" s="433">
        <v>2</v>
      </c>
      <c r="B21" s="573" t="s">
        <v>137</v>
      </c>
      <c r="C21" s="573"/>
      <c r="D21" s="573"/>
    </row>
    <row r="22" spans="1:4" s="423" customFormat="1" ht="18" customHeight="1" x14ac:dyDescent="0.2">
      <c r="A22" s="434"/>
      <c r="B22" s="573"/>
      <c r="C22" s="573"/>
      <c r="D22" s="573"/>
    </row>
    <row r="23" spans="1:4" ht="10" customHeight="1" x14ac:dyDescent="0.15">
      <c r="A23" s="12"/>
    </row>
    <row r="24" spans="1:4" ht="14.5" customHeight="1" x14ac:dyDescent="0.15">
      <c r="A24" s="433">
        <v>3</v>
      </c>
      <c r="B24" s="573" t="s">
        <v>142</v>
      </c>
      <c r="C24" s="573"/>
      <c r="D24" s="573"/>
    </row>
    <row r="25" spans="1:4" ht="18" customHeight="1" x14ac:dyDescent="0.15">
      <c r="A25" s="16"/>
      <c r="B25" s="573"/>
      <c r="C25" s="573"/>
      <c r="D25" s="573"/>
    </row>
  </sheetData>
  <mergeCells count="5">
    <mergeCell ref="B24:D25"/>
    <mergeCell ref="B5:D5"/>
    <mergeCell ref="B3:D3"/>
    <mergeCell ref="B21:D22"/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Scoring</vt:lpstr>
      <vt:lpstr>Repeat Assessments</vt:lpstr>
      <vt:lpstr>Set Up Other Group Data</vt:lpstr>
      <vt:lpstr>Healthy Controls</vt:lpstr>
      <vt:lpstr>Print Results</vt:lpstr>
      <vt:lpstr>AI interpretation</vt:lpstr>
      <vt:lpstr>'Print Results'!Print_Area</vt:lpstr>
      <vt:lpstr>'Repeat Assessments'!Print_Area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ANBH</dc:creator>
  <cp:keywords/>
  <dc:description/>
  <cp:lastModifiedBy>Greenberg, Glen D</cp:lastModifiedBy>
  <cp:revision/>
  <cp:lastPrinted>2026-10-06T11:38:26Z</cp:lastPrinted>
  <dcterms:created xsi:type="dcterms:W3CDTF">2006-06-12T14:40:16Z</dcterms:created>
  <dcterms:modified xsi:type="dcterms:W3CDTF">2026-10-11T22:24:29Z</dcterms:modified>
  <cp:category/>
  <cp:contentStatus/>
</cp:coreProperties>
</file>